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04"/>
  <workbookPr/>
  <mc:AlternateContent xmlns:mc="http://schemas.openxmlformats.org/markup-compatibility/2006">
    <mc:Choice Requires="x15">
      <x15ac:absPath xmlns:x15ac="http://schemas.microsoft.com/office/spreadsheetml/2010/11/ac" url="https://d.docs.live.net/4539644b10aa5076/District Reports/"/>
    </mc:Choice>
  </mc:AlternateContent>
  <xr:revisionPtr revIDLastSave="0" documentId="11_54E18BE696D5D4CA4107646259E42B4A2395E02C" xr6:coauthVersionLast="45" xr6:coauthVersionMax="45" xr10:uidLastSave="{00000000-0000-0000-0000-000000000000}"/>
  <bookViews>
    <workbookView xWindow="0" yWindow="0" windowWidth="19200" windowHeight="7610" firstSheet="1" activeTab="1" xr2:uid="{00000000-000D-0000-FFFF-FFFF00000000}"/>
  </bookViews>
  <sheets>
    <sheet name="Summary Info - Enter Data Here" sheetId="1" r:id="rId1"/>
    <sheet name="Annual Dashboard- Autopopulates" sheetId="3" r:id="rId2"/>
    <sheet name="Analysis-AutoPopulates" sheetId="2" r:id="rId3"/>
  </sheets>
  <definedNames>
    <definedName name="_xlnm.Print_Area" localSheetId="2">'Analysis-AutoPopulates'!$A$1:$H$59</definedName>
    <definedName name="_xlnm.Print_Area" localSheetId="0">'Summary Info - Enter Data Here'!$A:$H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" l="1"/>
  <c r="I13" i="1" l="1"/>
  <c r="I12" i="1"/>
  <c r="I6" i="1"/>
  <c r="I56" i="1" l="1"/>
  <c r="I67" i="1"/>
  <c r="I65" i="1"/>
  <c r="I40" i="1"/>
  <c r="I45" i="1"/>
  <c r="I48" i="1"/>
  <c r="I39" i="1"/>
  <c r="B45" i="2" l="1"/>
  <c r="C45" i="2"/>
  <c r="D45" i="2"/>
  <c r="E45" i="2"/>
  <c r="F45" i="2"/>
  <c r="G45" i="2"/>
  <c r="H45" i="2"/>
  <c r="I45" i="2"/>
  <c r="J45" i="2"/>
  <c r="B21" i="2"/>
  <c r="C21" i="2"/>
  <c r="D21" i="2"/>
  <c r="E21" i="2"/>
  <c r="F21" i="2"/>
  <c r="G21" i="2"/>
  <c r="H21" i="2"/>
  <c r="I21" i="2"/>
  <c r="J21" i="2"/>
  <c r="I39" i="2"/>
  <c r="G39" i="2"/>
  <c r="H39" i="2"/>
  <c r="F39" i="2"/>
  <c r="I5" i="2"/>
  <c r="J5" i="2"/>
  <c r="I6" i="2"/>
  <c r="J6" i="2"/>
  <c r="I7" i="2"/>
  <c r="J7" i="2"/>
  <c r="I10" i="2"/>
  <c r="J10" i="2"/>
  <c r="I12" i="2"/>
  <c r="J12" i="2"/>
  <c r="I13" i="2"/>
  <c r="J13" i="2"/>
  <c r="I20" i="2"/>
  <c r="J20" i="2"/>
  <c r="I22" i="2"/>
  <c r="J22" i="2"/>
  <c r="I23" i="2"/>
  <c r="J23" i="2"/>
  <c r="I36" i="2"/>
  <c r="J36" i="2"/>
  <c r="I37" i="2"/>
  <c r="J37" i="2"/>
  <c r="I38" i="2"/>
  <c r="J38" i="2"/>
  <c r="J39" i="2"/>
  <c r="I43" i="2"/>
  <c r="J43" i="2"/>
  <c r="I44" i="2"/>
  <c r="J44" i="2"/>
  <c r="I46" i="2"/>
  <c r="J46" i="2"/>
  <c r="B3" i="1" l="1"/>
  <c r="C12" i="1"/>
  <c r="C23" i="2" l="1"/>
  <c r="D23" i="2"/>
  <c r="E23" i="2"/>
  <c r="F23" i="2"/>
  <c r="G23" i="2"/>
  <c r="H23" i="2"/>
  <c r="B23" i="2"/>
  <c r="C20" i="2"/>
  <c r="D20" i="2"/>
  <c r="E20" i="2"/>
  <c r="F20" i="2"/>
  <c r="G20" i="2"/>
  <c r="H20" i="2"/>
  <c r="C22" i="2"/>
  <c r="D22" i="2"/>
  <c r="E22" i="2"/>
  <c r="F22" i="2"/>
  <c r="G22" i="2"/>
  <c r="H22" i="2"/>
  <c r="B22" i="2"/>
  <c r="B20" i="2"/>
  <c r="C5" i="2"/>
  <c r="D5" i="2"/>
  <c r="E5" i="2"/>
  <c r="F5" i="2"/>
  <c r="G5" i="2"/>
  <c r="H5" i="2"/>
  <c r="C6" i="2"/>
  <c r="D6" i="2"/>
  <c r="E6" i="2"/>
  <c r="F6" i="2"/>
  <c r="G6" i="2"/>
  <c r="H6" i="2"/>
  <c r="C7" i="2"/>
  <c r="D7" i="2"/>
  <c r="E7" i="2"/>
  <c r="F7" i="2"/>
  <c r="G7" i="2"/>
  <c r="H7" i="2"/>
  <c r="B6" i="2"/>
  <c r="B7" i="2"/>
  <c r="C12" i="2"/>
  <c r="D12" i="2"/>
  <c r="E12" i="2"/>
  <c r="F12" i="2"/>
  <c r="G12" i="2"/>
  <c r="H12" i="2"/>
  <c r="C13" i="2"/>
  <c r="D13" i="2"/>
  <c r="E13" i="2"/>
  <c r="F13" i="2"/>
  <c r="G13" i="2"/>
  <c r="H13" i="2"/>
  <c r="B13" i="2"/>
  <c r="B12" i="2"/>
  <c r="C10" i="2"/>
  <c r="D10" i="2"/>
  <c r="E10" i="2"/>
  <c r="F10" i="2"/>
  <c r="G10" i="2"/>
  <c r="H10" i="2"/>
  <c r="B10" i="2"/>
  <c r="B5" i="2"/>
  <c r="C46" i="2"/>
  <c r="D46" i="2"/>
  <c r="E46" i="2"/>
  <c r="F46" i="2"/>
  <c r="G46" i="2"/>
  <c r="H46" i="2"/>
  <c r="B46" i="2"/>
  <c r="C44" i="2"/>
  <c r="D44" i="2"/>
  <c r="E44" i="2"/>
  <c r="F44" i="2"/>
  <c r="G44" i="2"/>
  <c r="H44" i="2"/>
  <c r="B44" i="2"/>
  <c r="C43" i="2"/>
  <c r="D43" i="2"/>
  <c r="E43" i="2"/>
  <c r="F43" i="2"/>
  <c r="G43" i="2"/>
  <c r="H43" i="2"/>
  <c r="B43" i="2"/>
  <c r="C39" i="2"/>
  <c r="D39" i="2"/>
  <c r="E39" i="2"/>
  <c r="B39" i="2"/>
  <c r="C38" i="2"/>
  <c r="D38" i="2"/>
  <c r="E38" i="2"/>
  <c r="F38" i="2"/>
  <c r="G38" i="2"/>
  <c r="H38" i="2"/>
  <c r="B38" i="2"/>
  <c r="C37" i="2"/>
  <c r="D37" i="2"/>
  <c r="E37" i="2"/>
  <c r="F37" i="2"/>
  <c r="G37" i="2"/>
  <c r="H37" i="2"/>
  <c r="B37" i="2"/>
  <c r="C36" i="2"/>
  <c r="D36" i="2"/>
  <c r="E36" i="2"/>
  <c r="F36" i="2"/>
  <c r="G36" i="2"/>
  <c r="H36" i="2"/>
  <c r="B36" i="2"/>
  <c r="Q28" i="2"/>
  <c r="P28" i="2"/>
  <c r="O28" i="2"/>
  <c r="N28" i="2"/>
  <c r="M28" i="2"/>
  <c r="L28" i="2"/>
  <c r="K28" i="2"/>
  <c r="H68" i="1"/>
  <c r="H29" i="2" s="1"/>
  <c r="I68" i="1"/>
  <c r="I29" i="2" s="1"/>
  <c r="J68" i="1"/>
  <c r="J29" i="2" s="1"/>
  <c r="K68" i="1"/>
  <c r="L68" i="1"/>
  <c r="M68" i="1"/>
  <c r="N68" i="1"/>
  <c r="O68" i="1"/>
  <c r="P68" i="1"/>
  <c r="Q68" i="1"/>
  <c r="H61" i="1"/>
  <c r="I61" i="1"/>
  <c r="I28" i="2" s="1"/>
  <c r="J61" i="1"/>
  <c r="K61" i="1"/>
  <c r="L61" i="1"/>
  <c r="L30" i="1" s="1"/>
  <c r="L31" i="1" s="1"/>
  <c r="M61" i="1"/>
  <c r="M70" i="1" s="1"/>
  <c r="N61" i="1"/>
  <c r="O61" i="1"/>
  <c r="O30" i="1" s="1"/>
  <c r="O31" i="1" s="1"/>
  <c r="P61" i="1"/>
  <c r="Q61" i="1"/>
  <c r="Q30" i="1" s="1"/>
  <c r="Q31" i="1" s="1"/>
  <c r="H49" i="1"/>
  <c r="H14" i="2" s="1"/>
  <c r="I49" i="1"/>
  <c r="J49" i="1"/>
  <c r="K49" i="1"/>
  <c r="L49" i="1"/>
  <c r="M49" i="1"/>
  <c r="N49" i="1"/>
  <c r="O49" i="1"/>
  <c r="P49" i="1"/>
  <c r="Q49" i="1"/>
  <c r="H43" i="1"/>
  <c r="I43" i="1"/>
  <c r="I8" i="2" s="1"/>
  <c r="J43" i="1"/>
  <c r="J8" i="2" s="1"/>
  <c r="K43" i="1"/>
  <c r="L43" i="1"/>
  <c r="M43" i="1"/>
  <c r="M51" i="1" s="1"/>
  <c r="M72" i="1" s="1"/>
  <c r="N43" i="1"/>
  <c r="O43" i="1"/>
  <c r="P43" i="1"/>
  <c r="Q43" i="1"/>
  <c r="Q51" i="1" s="1"/>
  <c r="B68" i="1"/>
  <c r="B29" i="2" s="1"/>
  <c r="B61" i="1"/>
  <c r="B17" i="1"/>
  <c r="B9" i="1"/>
  <c r="H31" i="1"/>
  <c r="H50" i="2" s="1"/>
  <c r="K30" i="1"/>
  <c r="K31" i="1" s="1"/>
  <c r="P30" i="1"/>
  <c r="P31" i="1" s="1"/>
  <c r="H20" i="1"/>
  <c r="I20" i="1"/>
  <c r="J20" i="1"/>
  <c r="K20" i="1"/>
  <c r="L20" i="1"/>
  <c r="M20" i="1"/>
  <c r="N20" i="1"/>
  <c r="O20" i="1"/>
  <c r="P20" i="1"/>
  <c r="Q20" i="1"/>
  <c r="N17" i="1"/>
  <c r="O17" i="1"/>
  <c r="P17" i="1"/>
  <c r="Q17" i="1"/>
  <c r="N9" i="1"/>
  <c r="N22" i="1" s="1"/>
  <c r="O9" i="1"/>
  <c r="P9" i="1"/>
  <c r="P22" i="1" s="1"/>
  <c r="Q9" i="1"/>
  <c r="Q22" i="1" s="1"/>
  <c r="Q23" i="1" s="1"/>
  <c r="Q25" i="1" s="1"/>
  <c r="H17" i="1"/>
  <c r="I17" i="1"/>
  <c r="J17" i="1"/>
  <c r="K17" i="1"/>
  <c r="L17" i="1"/>
  <c r="M17" i="1"/>
  <c r="H9" i="1"/>
  <c r="I9" i="1"/>
  <c r="J9" i="1"/>
  <c r="K9" i="1"/>
  <c r="L9" i="1"/>
  <c r="M9" i="1"/>
  <c r="G68" i="1"/>
  <c r="G29" i="2" s="1"/>
  <c r="F68" i="1"/>
  <c r="F29" i="2" s="1"/>
  <c r="E68" i="1"/>
  <c r="E29" i="2" s="1"/>
  <c r="D68" i="1"/>
  <c r="D29" i="2" s="1"/>
  <c r="C68" i="1"/>
  <c r="C29" i="2" s="1"/>
  <c r="G61" i="1"/>
  <c r="G28" i="2" s="1"/>
  <c r="F61" i="1"/>
  <c r="F28" i="2" s="1"/>
  <c r="E61" i="1"/>
  <c r="E28" i="2" s="1"/>
  <c r="D61" i="1"/>
  <c r="D28" i="2" s="1"/>
  <c r="C61" i="1"/>
  <c r="C30" i="1" s="1"/>
  <c r="C31" i="1" s="1"/>
  <c r="G49" i="1"/>
  <c r="G24" i="2" s="1"/>
  <c r="F49" i="1"/>
  <c r="E49" i="1"/>
  <c r="E24" i="2" s="1"/>
  <c r="D49" i="1"/>
  <c r="D24" i="2" s="1"/>
  <c r="C49" i="1"/>
  <c r="C24" i="2" s="1"/>
  <c r="B49" i="1"/>
  <c r="B24" i="2" s="1"/>
  <c r="G43" i="1"/>
  <c r="G8" i="2" s="1"/>
  <c r="F43" i="1"/>
  <c r="F8" i="2" s="1"/>
  <c r="E43" i="1"/>
  <c r="E8" i="2" s="1"/>
  <c r="D43" i="1"/>
  <c r="C43" i="1"/>
  <c r="C8" i="2" s="1"/>
  <c r="B43" i="1"/>
  <c r="G20" i="1"/>
  <c r="F20" i="1"/>
  <c r="D20" i="1"/>
  <c r="C20" i="1"/>
  <c r="B20" i="1"/>
  <c r="G17" i="1"/>
  <c r="F17" i="1"/>
  <c r="E17" i="1"/>
  <c r="D17" i="1"/>
  <c r="C17" i="1"/>
  <c r="G9" i="1"/>
  <c r="F9" i="1"/>
  <c r="E9" i="1"/>
  <c r="D9" i="1"/>
  <c r="C9" i="1"/>
  <c r="N51" i="1" l="1"/>
  <c r="N70" i="1"/>
  <c r="F51" i="1"/>
  <c r="F16" i="2" s="1"/>
  <c r="O51" i="1"/>
  <c r="K51" i="1"/>
  <c r="K70" i="1"/>
  <c r="J22" i="1"/>
  <c r="J28" i="1" s="1"/>
  <c r="J55" i="2" s="1"/>
  <c r="N30" i="1"/>
  <c r="N31" i="1" s="1"/>
  <c r="P51" i="1"/>
  <c r="L51" i="1"/>
  <c r="P70" i="1"/>
  <c r="J24" i="2"/>
  <c r="J14" i="2"/>
  <c r="Q70" i="1"/>
  <c r="Q72" i="1" s="1"/>
  <c r="I70" i="1"/>
  <c r="I30" i="2" s="1"/>
  <c r="I30" i="1"/>
  <c r="I31" i="1" s="1"/>
  <c r="I14" i="2"/>
  <c r="I24" i="2"/>
  <c r="L70" i="1"/>
  <c r="L72" i="1" s="1"/>
  <c r="M30" i="1"/>
  <c r="M31" i="1" s="1"/>
  <c r="J51" i="1"/>
  <c r="O70" i="1"/>
  <c r="K22" i="1"/>
  <c r="K23" i="1" s="1"/>
  <c r="K25" i="1" s="1"/>
  <c r="I51" i="1"/>
  <c r="J30" i="1"/>
  <c r="J31" i="1" s="1"/>
  <c r="J28" i="2"/>
  <c r="J70" i="1"/>
  <c r="J30" i="2" s="1"/>
  <c r="B70" i="1"/>
  <c r="B30" i="2" s="1"/>
  <c r="B32" i="2" s="1"/>
  <c r="B51" i="1"/>
  <c r="B16" i="2" s="1"/>
  <c r="C51" i="1"/>
  <c r="C16" i="2" s="1"/>
  <c r="F24" i="2"/>
  <c r="F14" i="2"/>
  <c r="M22" i="1"/>
  <c r="M28" i="1" s="1"/>
  <c r="L22" i="1"/>
  <c r="L23" i="1" s="1"/>
  <c r="L25" i="1" s="1"/>
  <c r="O22" i="1"/>
  <c r="O28" i="1" s="1"/>
  <c r="O33" i="1" s="1"/>
  <c r="I22" i="1"/>
  <c r="I23" i="1" s="1"/>
  <c r="I25" i="1" s="1"/>
  <c r="H24" i="2"/>
  <c r="H51" i="1"/>
  <c r="H16" i="2" s="1"/>
  <c r="H70" i="1"/>
  <c r="H30" i="2" s="1"/>
  <c r="H32" i="2" s="1"/>
  <c r="H28" i="2"/>
  <c r="H8" i="2"/>
  <c r="H59" i="2"/>
  <c r="H22" i="1"/>
  <c r="H28" i="1" s="1"/>
  <c r="H55" i="2" s="1"/>
  <c r="P28" i="1"/>
  <c r="P33" i="1" s="1"/>
  <c r="P23" i="1"/>
  <c r="P25" i="1" s="1"/>
  <c r="N23" i="1"/>
  <c r="N25" i="1" s="1"/>
  <c r="N28" i="1"/>
  <c r="Q28" i="1"/>
  <c r="Q33" i="1" s="1"/>
  <c r="F70" i="1"/>
  <c r="F30" i="2" s="1"/>
  <c r="F32" i="2" s="1"/>
  <c r="C50" i="2"/>
  <c r="C59" i="2"/>
  <c r="B28" i="2"/>
  <c r="C28" i="2"/>
  <c r="C70" i="1"/>
  <c r="C30" i="2" s="1"/>
  <c r="C32" i="2" s="1"/>
  <c r="D70" i="1"/>
  <c r="D30" i="2" s="1"/>
  <c r="D31" i="2" s="1"/>
  <c r="D31" i="1"/>
  <c r="E14" i="2"/>
  <c r="D51" i="1"/>
  <c r="D16" i="2" s="1"/>
  <c r="B14" i="2"/>
  <c r="D14" i="2"/>
  <c r="G14" i="2"/>
  <c r="C14" i="2"/>
  <c r="B8" i="2"/>
  <c r="D8" i="2"/>
  <c r="B22" i="1"/>
  <c r="B28" i="1" s="1"/>
  <c r="B55" i="2" s="1"/>
  <c r="B30" i="1"/>
  <c r="B31" i="1" s="1"/>
  <c r="E51" i="1"/>
  <c r="E16" i="2" s="1"/>
  <c r="D22" i="1"/>
  <c r="D28" i="1" s="1"/>
  <c r="E22" i="1"/>
  <c r="E23" i="1" s="1"/>
  <c r="E70" i="1"/>
  <c r="E30" i="2" s="1"/>
  <c r="E31" i="2" s="1"/>
  <c r="G51" i="1"/>
  <c r="C22" i="1"/>
  <c r="C28" i="1" s="1"/>
  <c r="G70" i="1"/>
  <c r="G30" i="2" s="1"/>
  <c r="G31" i="2" s="1"/>
  <c r="F22" i="1"/>
  <c r="F30" i="1"/>
  <c r="F31" i="1" s="1"/>
  <c r="G22" i="1"/>
  <c r="G28" i="1" s="1"/>
  <c r="G55" i="2" s="1"/>
  <c r="G31" i="1"/>
  <c r="E31" i="1"/>
  <c r="M23" i="1" l="1"/>
  <c r="M25" i="1" s="1"/>
  <c r="J23" i="1"/>
  <c r="J25" i="1" s="1"/>
  <c r="L28" i="1"/>
  <c r="L33" i="1" s="1"/>
  <c r="P72" i="1"/>
  <c r="K72" i="1"/>
  <c r="N72" i="1"/>
  <c r="I28" i="1"/>
  <c r="I55" i="2" s="1"/>
  <c r="N33" i="1"/>
  <c r="O72" i="1"/>
  <c r="I16" i="2"/>
  <c r="I72" i="1"/>
  <c r="K28" i="1"/>
  <c r="K33" i="1" s="1"/>
  <c r="M33" i="1"/>
  <c r="I50" i="2"/>
  <c r="I59" i="2"/>
  <c r="H31" i="2"/>
  <c r="J59" i="2"/>
  <c r="J50" i="2"/>
  <c r="J16" i="2"/>
  <c r="J72" i="1"/>
  <c r="B31" i="2"/>
  <c r="B72" i="1"/>
  <c r="B74" i="1" s="1"/>
  <c r="C73" i="1" s="1"/>
  <c r="O23" i="1"/>
  <c r="O25" i="1" s="1"/>
  <c r="D32" i="2"/>
  <c r="D72" i="1"/>
  <c r="F72" i="1"/>
  <c r="J33" i="1"/>
  <c r="J51" i="2" s="1"/>
  <c r="H72" i="1"/>
  <c r="H23" i="1"/>
  <c r="H25" i="1" s="1"/>
  <c r="F31" i="2"/>
  <c r="I33" i="1"/>
  <c r="I51" i="2" s="1"/>
  <c r="H33" i="1"/>
  <c r="H51" i="2" s="1"/>
  <c r="C72" i="1"/>
  <c r="E32" i="2"/>
  <c r="G32" i="2"/>
  <c r="C31" i="2"/>
  <c r="G50" i="2"/>
  <c r="G59" i="2"/>
  <c r="F50" i="2"/>
  <c r="F59" i="2"/>
  <c r="E59" i="2"/>
  <c r="E50" i="2"/>
  <c r="B50" i="2"/>
  <c r="B59" i="2"/>
  <c r="D50" i="2"/>
  <c r="D59" i="2"/>
  <c r="G72" i="1"/>
  <c r="G16" i="2"/>
  <c r="E72" i="1"/>
  <c r="C23" i="1"/>
  <c r="C76" i="1" s="1"/>
  <c r="D23" i="1"/>
  <c r="D76" i="1" s="1"/>
  <c r="B33" i="1"/>
  <c r="B51" i="2" s="1"/>
  <c r="B23" i="1"/>
  <c r="B25" i="1" s="1"/>
  <c r="C33" i="1"/>
  <c r="C51" i="2" s="1"/>
  <c r="C55" i="2"/>
  <c r="D33" i="1"/>
  <c r="D51" i="2" s="1"/>
  <c r="D55" i="2"/>
  <c r="E76" i="1"/>
  <c r="E25" i="1"/>
  <c r="E28" i="1"/>
  <c r="G23" i="1"/>
  <c r="G76" i="1" s="1"/>
  <c r="F23" i="1"/>
  <c r="F28" i="1"/>
  <c r="G33" i="1"/>
  <c r="G51" i="2" s="1"/>
  <c r="C74" i="1" l="1"/>
  <c r="D73" i="1" s="1"/>
  <c r="D74" i="1" s="1"/>
  <c r="E73" i="1" s="1"/>
  <c r="E74" i="1" s="1"/>
  <c r="F73" i="1" s="1"/>
  <c r="F74" i="1" s="1"/>
  <c r="G73" i="1" s="1"/>
  <c r="G74" i="1" s="1"/>
  <c r="B76" i="1"/>
  <c r="D25" i="1"/>
  <c r="C25" i="1"/>
  <c r="F33" i="1"/>
  <c r="F51" i="2" s="1"/>
  <c r="F55" i="2"/>
  <c r="E33" i="1"/>
  <c r="E51" i="2" s="1"/>
  <c r="E55" i="2"/>
  <c r="G25" i="1"/>
  <c r="F76" i="1"/>
  <c r="F25" i="1"/>
</calcChain>
</file>

<file path=xl/sharedStrings.xml><?xml version="1.0" encoding="utf-8"?>
<sst xmlns="http://schemas.openxmlformats.org/spreadsheetml/2006/main" count="113" uniqueCount="82">
  <si>
    <t>BALANCE SHEET</t>
  </si>
  <si>
    <t>Assets</t>
  </si>
  <si>
    <t>Unaudited</t>
  </si>
  <si>
    <t>Audited</t>
  </si>
  <si>
    <t>Preliminary</t>
  </si>
  <si>
    <t xml:space="preserve">   Cash and Investments</t>
  </si>
  <si>
    <t xml:space="preserve">   Prepaid Items</t>
  </si>
  <si>
    <t xml:space="preserve">   Due from Other Governments</t>
  </si>
  <si>
    <t xml:space="preserve">   Accounts Receivable</t>
  </si>
  <si>
    <t xml:space="preserve">   Accrued Interest</t>
  </si>
  <si>
    <t xml:space="preserve">   Inventory</t>
  </si>
  <si>
    <t xml:space="preserve">   Total Assets</t>
  </si>
  <si>
    <t>Liabilities</t>
  </si>
  <si>
    <t xml:space="preserve">   Accounts Payable</t>
  </si>
  <si>
    <t xml:space="preserve">   Salaries Payable</t>
  </si>
  <si>
    <t xml:space="preserve">   Deposit on Sales</t>
  </si>
  <si>
    <t xml:space="preserve">   Due to Other Governments</t>
  </si>
  <si>
    <t xml:space="preserve">   Unearned Revenue</t>
  </si>
  <si>
    <t xml:space="preserve">   Total Liabilities</t>
  </si>
  <si>
    <t>Fund Balance</t>
  </si>
  <si>
    <t xml:space="preserve">   Nonspendable - Prepaids</t>
  </si>
  <si>
    <t xml:space="preserve">   Assigned - Compensated Absences</t>
  </si>
  <si>
    <t xml:space="preserve">   Unassigned</t>
  </si>
  <si>
    <t xml:space="preserve">   Total Fund Balance</t>
  </si>
  <si>
    <t>Total Liabilities and Fund Balance</t>
  </si>
  <si>
    <t>Unrestricted Fund Balance</t>
  </si>
  <si>
    <t>Annual Cost of District Operations</t>
  </si>
  <si>
    <t>Monthly Cost of District Operations</t>
  </si>
  <si>
    <t># of Months Fund Balance will Support District Operations</t>
  </si>
  <si>
    <t>PROFIT AND LOSS STATEMENT</t>
  </si>
  <si>
    <t>Revenues</t>
  </si>
  <si>
    <t xml:space="preserve">   Intergovernmental</t>
  </si>
  <si>
    <t xml:space="preserve">      County</t>
  </si>
  <si>
    <t xml:space="preserve">      Local</t>
  </si>
  <si>
    <t xml:space="preserve">      Federal</t>
  </si>
  <si>
    <t xml:space="preserve">      State Grant</t>
  </si>
  <si>
    <t xml:space="preserve">      Total Intergovernmental</t>
  </si>
  <si>
    <t xml:space="preserve">   Charges for Services</t>
  </si>
  <si>
    <t xml:space="preserve">   Misc. - Interest Earnings</t>
  </si>
  <si>
    <t xml:space="preserve">   Misc. - Other</t>
  </si>
  <si>
    <t xml:space="preserve">   Total Miscellaneous</t>
  </si>
  <si>
    <t xml:space="preserve">   Total Revenues</t>
  </si>
  <si>
    <t>Expenditures</t>
  </si>
  <si>
    <t xml:space="preserve">   District Operations</t>
  </si>
  <si>
    <t xml:space="preserve">      Personnel Services</t>
  </si>
  <si>
    <t xml:space="preserve">      Other Services and Charges</t>
  </si>
  <si>
    <t xml:space="preserve">      Supplies</t>
  </si>
  <si>
    <t xml:space="preserve">      Capital Outlay</t>
  </si>
  <si>
    <t xml:space="preserve">      Debt Service - Principal</t>
  </si>
  <si>
    <t xml:space="preserve">      Debt Service - Interest</t>
  </si>
  <si>
    <t xml:space="preserve">      Total District Operations</t>
  </si>
  <si>
    <t xml:space="preserve">   Project Expenditures</t>
  </si>
  <si>
    <t xml:space="preserve">      District</t>
  </si>
  <si>
    <t xml:space="preserve">      State</t>
  </si>
  <si>
    <t xml:space="preserve">      Total Project Expenditures</t>
  </si>
  <si>
    <t xml:space="preserve">   Total Expenditures</t>
  </si>
  <si>
    <t>Excess of Revenues Over (Under) Expenditures</t>
  </si>
  <si>
    <t>Fund Balance - January 1</t>
  </si>
  <si>
    <t>Fund Balance - December 31</t>
  </si>
  <si>
    <t>Chart 1: Revenues</t>
  </si>
  <si>
    <t>Chart 2: Revenues Breakdown</t>
  </si>
  <si>
    <t>County</t>
  </si>
  <si>
    <t>Federal</t>
  </si>
  <si>
    <t>State Grant</t>
  </si>
  <si>
    <t>Charges for Services</t>
  </si>
  <si>
    <t>Miscellaneous</t>
  </si>
  <si>
    <t>Chart 3: Total Expenditures</t>
  </si>
  <si>
    <t>District Operations</t>
  </si>
  <si>
    <t>Project Expenditures</t>
  </si>
  <si>
    <t>Total Expenditures</t>
  </si>
  <si>
    <t>Chart 4: District Operations Breakdown</t>
  </si>
  <si>
    <t>Personnel Services</t>
  </si>
  <si>
    <t>Other Services and Charges</t>
  </si>
  <si>
    <t>Supplies</t>
  </si>
  <si>
    <t>Capital Outlay-depr.</t>
  </si>
  <si>
    <t>Chart 5: Project Expenditures</t>
  </si>
  <si>
    <t>District</t>
  </si>
  <si>
    <t>State</t>
  </si>
  <si>
    <t>Chart 6: Monthly Operational Cost and Fund Balances</t>
  </si>
  <si>
    <t># of Months Fund Balance will Support Operations</t>
  </si>
  <si>
    <t>Chart 7: Unrestricted Fund Balance</t>
  </si>
  <si>
    <t>Chart 8: Monthly Cost of District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</si>
</sst>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&quot;$&quot;#,##0"/>
    <numFmt numFmtId="165" formatCode="0.0"/>
    <numFmt numFmtId="166" formatCode="_(&quot;$&quot;* #,##0_);_(&quot;$&quot;* \(#,##0\);_(&quot;$&quot;* &quot;-&quot;??_);_(@_)"/>
    <numFmt numFmtId="167" formatCode="&quot;$&quot;#,##0.00"/>
    <numFmt numFmtId="168" formatCode="&quot;$&quot;#,##0.0000"/>
    <numFmt numFmtId="169" formatCode="_(&quot;$&quot;* #,##0.000_);_(&quot;$&quot;* \(#,##0.000\);_(&quot;$&quot;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u val="double"/>
      <sz val="11"/>
      <name val="Calibri"/>
      <family val="2"/>
      <scheme val="minor"/>
    </font>
    <font>
      <u val="double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2"/>
      <color theme="4"/>
      <name val="Calibri"/>
      <family val="2"/>
      <scheme val="minor"/>
    </font>
    <font>
      <sz val="10"/>
      <name val="Calibri"/>
      <family val="2"/>
      <scheme val="minor"/>
    </font>
    <font>
      <b/>
      <i/>
      <u/>
      <sz val="12"/>
      <color theme="9" tint="-0.249977111117893"/>
      <name val="Calibri"/>
      <family val="2"/>
      <scheme val="minor"/>
    </font>
    <font>
      <b/>
      <i/>
      <u/>
      <sz val="12"/>
      <color theme="5"/>
      <name val="Calibri"/>
      <family val="2"/>
      <scheme val="minor"/>
    </font>
    <font>
      <b/>
      <i/>
      <u/>
      <sz val="12"/>
      <color theme="9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2" fillId="0" borderId="0" xfId="0" applyFont="1"/>
    <xf numFmtId="0" fontId="2" fillId="3" borderId="0" xfId="0" applyFont="1" applyFill="1"/>
    <xf numFmtId="164" fontId="11" fillId="3" borderId="0" xfId="0" applyNumberFormat="1" applyFont="1" applyFill="1"/>
    <xf numFmtId="164" fontId="11" fillId="2" borderId="0" xfId="0" applyNumberFormat="1" applyFont="1" applyFill="1"/>
    <xf numFmtId="0" fontId="2" fillId="4" borderId="0" xfId="0" applyFont="1" applyFill="1"/>
    <xf numFmtId="164" fontId="11" fillId="4" borderId="0" xfId="0" applyNumberFormat="1" applyFont="1" applyFill="1"/>
    <xf numFmtId="164" fontId="11" fillId="0" borderId="0" xfId="0" applyNumberFormat="1" applyFont="1" applyFill="1"/>
    <xf numFmtId="0" fontId="2" fillId="5" borderId="0" xfId="0" applyFont="1" applyFill="1"/>
    <xf numFmtId="164" fontId="9" fillId="0" borderId="0" xfId="0" applyNumberFormat="1" applyFont="1" applyFill="1"/>
    <xf numFmtId="164" fontId="5" fillId="0" borderId="0" xfId="0" applyNumberFormat="1" applyFont="1" applyFill="1"/>
    <xf numFmtId="0" fontId="4" fillId="0" borderId="0" xfId="0" applyFont="1" applyAlignment="1">
      <alignment horizontal="center"/>
    </xf>
    <xf numFmtId="44" fontId="0" fillId="0" borderId="0" xfId="1" applyFont="1"/>
    <xf numFmtId="44" fontId="5" fillId="0" borderId="0" xfId="1" applyFont="1" applyFill="1"/>
    <xf numFmtId="164" fontId="6" fillId="0" borderId="0" xfId="0" applyNumberFormat="1" applyFont="1" applyFill="1"/>
    <xf numFmtId="164" fontId="0" fillId="0" borderId="0" xfId="0" applyNumberFormat="1" applyFill="1"/>
    <xf numFmtId="164" fontId="7" fillId="0" borderId="0" xfId="0" applyNumberFormat="1" applyFont="1" applyFill="1"/>
    <xf numFmtId="0" fontId="0" fillId="0" borderId="0" xfId="0" applyFont="1" applyFill="1"/>
    <xf numFmtId="164" fontId="10" fillId="0" borderId="0" xfId="0" applyNumberFormat="1" applyFont="1" applyFill="1"/>
    <xf numFmtId="44" fontId="0" fillId="0" borderId="0" xfId="1" applyFont="1" applyFill="1"/>
    <xf numFmtId="0" fontId="4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0" fillId="0" borderId="1" xfId="0" applyFont="1" applyFill="1" applyBorder="1"/>
    <xf numFmtId="164" fontId="5" fillId="0" borderId="1" xfId="0" applyNumberFormat="1" applyFont="1" applyFill="1" applyBorder="1"/>
    <xf numFmtId="0" fontId="0" fillId="0" borderId="1" xfId="0" applyFill="1" applyBorder="1"/>
    <xf numFmtId="164" fontId="0" fillId="0" borderId="1" xfId="0" applyNumberFormat="1" applyFont="1" applyFill="1" applyBorder="1"/>
    <xf numFmtId="164" fontId="2" fillId="0" borderId="0" xfId="0" applyNumberFormat="1" applyFont="1" applyFill="1"/>
    <xf numFmtId="164" fontId="5" fillId="0" borderId="2" xfId="0" applyNumberFormat="1" applyFont="1" applyFill="1" applyBorder="1"/>
    <xf numFmtId="0" fontId="0" fillId="0" borderId="2" xfId="0" applyFill="1" applyBorder="1"/>
    <xf numFmtId="0" fontId="0" fillId="6" borderId="1" xfId="0" applyFont="1" applyFill="1" applyBorder="1"/>
    <xf numFmtId="164" fontId="5" fillId="6" borderId="1" xfId="0" applyNumberFormat="1" applyFont="1" applyFill="1" applyBorder="1"/>
    <xf numFmtId="0" fontId="2" fillId="2" borderId="0" xfId="0" applyFont="1" applyFill="1" applyBorder="1"/>
    <xf numFmtId="0" fontId="0" fillId="0" borderId="0" xfId="0" applyFont="1" applyFill="1" applyBorder="1"/>
    <xf numFmtId="0" fontId="0" fillId="0" borderId="0" xfId="0" applyFont="1" applyBorder="1"/>
    <xf numFmtId="164" fontId="11" fillId="2" borderId="0" xfId="0" applyNumberFormat="1" applyFont="1" applyFill="1" applyBorder="1"/>
    <xf numFmtId="0" fontId="2" fillId="0" borderId="0" xfId="0" applyFont="1" applyBorder="1"/>
    <xf numFmtId="165" fontId="11" fillId="5" borderId="0" xfId="0" applyNumberFormat="1" applyFont="1" applyFill="1"/>
    <xf numFmtId="0" fontId="0" fillId="0" borderId="1" xfId="0" applyFont="1" applyBorder="1"/>
    <xf numFmtId="0" fontId="2" fillId="0" borderId="1" xfId="0" applyFont="1" applyBorder="1"/>
    <xf numFmtId="0" fontId="0" fillId="0" borderId="2" xfId="0" applyBorder="1"/>
    <xf numFmtId="164" fontId="8" fillId="0" borderId="2" xfId="0" applyNumberFormat="1" applyFont="1" applyFill="1" applyBorder="1"/>
    <xf numFmtId="164" fontId="6" fillId="0" borderId="2" xfId="0" applyNumberFormat="1" applyFont="1" applyFill="1" applyBorder="1"/>
    <xf numFmtId="0" fontId="2" fillId="7" borderId="0" xfId="0" applyFont="1" applyFill="1" applyBorder="1"/>
    <xf numFmtId="164" fontId="2" fillId="7" borderId="0" xfId="0" applyNumberFormat="1" applyFont="1" applyFill="1" applyBorder="1"/>
    <xf numFmtId="0" fontId="12" fillId="0" borderId="0" xfId="0" applyFont="1" applyFill="1"/>
    <xf numFmtId="0" fontId="0" fillId="0" borderId="0" xfId="0" applyAlignment="1">
      <alignment horizontal="left" indent="1"/>
    </xf>
    <xf numFmtId="0" fontId="0" fillId="0" borderId="0" xfId="0" applyFont="1" applyBorder="1" applyAlignment="1">
      <alignment horizontal="left" indent="1"/>
    </xf>
    <xf numFmtId="0" fontId="0" fillId="0" borderId="0" xfId="0" applyFont="1" applyFill="1" applyBorder="1" applyAlignment="1">
      <alignment horizontal="left" indent="1"/>
    </xf>
    <xf numFmtId="166" fontId="0" fillId="0" borderId="0" xfId="1" applyNumberFormat="1" applyFont="1"/>
    <xf numFmtId="0" fontId="0" fillId="0" borderId="0" xfId="0" applyNumberFormat="1"/>
    <xf numFmtId="0" fontId="3" fillId="0" borderId="0" xfId="1" applyNumberFormat="1" applyFont="1" applyFill="1" applyAlignment="1">
      <alignment horizontal="center"/>
    </xf>
    <xf numFmtId="0" fontId="0" fillId="0" borderId="0" xfId="1" applyNumberFormat="1" applyFont="1"/>
    <xf numFmtId="166" fontId="5" fillId="0" borderId="0" xfId="1" applyNumberFormat="1" applyFont="1" applyFill="1"/>
    <xf numFmtId="166" fontId="0" fillId="0" borderId="0" xfId="1" applyNumberFormat="1" applyFont="1" applyFill="1"/>
    <xf numFmtId="166" fontId="2" fillId="0" borderId="0" xfId="1" applyNumberFormat="1" applyFont="1"/>
    <xf numFmtId="166" fontId="5" fillId="0" borderId="1" xfId="1" applyNumberFormat="1" applyFont="1" applyFill="1" applyBorder="1"/>
    <xf numFmtId="166" fontId="0" fillId="0" borderId="1" xfId="1" applyNumberFormat="1" applyFont="1" applyBorder="1"/>
    <xf numFmtId="166" fontId="11" fillId="0" borderId="0" xfId="1" applyNumberFormat="1" applyFont="1" applyFill="1"/>
    <xf numFmtId="166" fontId="8" fillId="0" borderId="2" xfId="1" applyNumberFormat="1" applyFont="1" applyFill="1" applyBorder="1"/>
    <xf numFmtId="166" fontId="0" fillId="0" borderId="2" xfId="1" applyNumberFormat="1" applyFont="1" applyFill="1" applyBorder="1"/>
    <xf numFmtId="166" fontId="0" fillId="0" borderId="2" xfId="1" applyNumberFormat="1" applyFont="1" applyBorder="1"/>
    <xf numFmtId="166" fontId="2" fillId="0" borderId="0" xfId="1" applyNumberFormat="1" applyFont="1" applyFill="1"/>
    <xf numFmtId="166" fontId="5" fillId="0" borderId="0" xfId="1" applyNumberFormat="1" applyFont="1" applyFill="1" applyBorder="1"/>
    <xf numFmtId="166" fontId="0" fillId="0" borderId="0" xfId="1" applyNumberFormat="1" applyFont="1" applyFill="1" applyBorder="1"/>
    <xf numFmtId="166" fontId="0" fillId="0" borderId="0" xfId="1" applyNumberFormat="1" applyFont="1" applyBorder="1"/>
    <xf numFmtId="9" fontId="0" fillId="0" borderId="0" xfId="2" applyFont="1"/>
    <xf numFmtId="165" fontId="0" fillId="0" borderId="0" xfId="1" applyNumberFormat="1" applyFont="1"/>
    <xf numFmtId="164" fontId="0" fillId="0" borderId="1" xfId="0" applyNumberFormat="1" applyFill="1" applyBorder="1"/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5" fillId="0" borderId="0" xfId="0" applyNumberFormat="1" applyFont="1" applyFill="1" applyBorder="1"/>
    <xf numFmtId="164" fontId="13" fillId="0" borderId="0" xfId="0" applyNumberFormat="1" applyFont="1" applyFill="1"/>
    <xf numFmtId="167" fontId="0" fillId="0" borderId="0" xfId="0" applyNumberFormat="1"/>
    <xf numFmtId="168" fontId="0" fillId="0" borderId="0" xfId="0" applyNumberFormat="1" applyFill="1"/>
    <xf numFmtId="0" fontId="14" fillId="0" borderId="0" xfId="0" applyFont="1" applyAlignment="1">
      <alignment horizontal="left"/>
    </xf>
    <xf numFmtId="0" fontId="14" fillId="0" borderId="0" xfId="0" applyFont="1" applyFill="1"/>
    <xf numFmtId="0" fontId="15" fillId="0" borderId="0" xfId="0" applyFont="1" applyFill="1"/>
    <xf numFmtId="0" fontId="16" fillId="0" borderId="0" xfId="0" applyFont="1" applyFill="1"/>
    <xf numFmtId="10" fontId="2" fillId="0" borderId="0" xfId="1" applyNumberFormat="1" applyFont="1" applyFill="1"/>
    <xf numFmtId="169" fontId="0" fillId="0" borderId="0" xfId="1" applyNumberFormat="1" applyFont="1"/>
    <xf numFmtId="1" fontId="0" fillId="0" borderId="0" xfId="0" applyNumberFormat="1" applyFill="1"/>
    <xf numFmtId="1" fontId="0" fillId="0" borderId="1" xfId="0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66FFCC"/>
      <color rgb="FF9966FF"/>
      <color rgb="FFCBCB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1914207089788698"/>
          <c:y val="0.22018042863486573"/>
          <c:w val="0.74159867396456036"/>
          <c:h val="0.632726295370089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'Analysis-AutoPopulates'!$A$16</c:f>
              <c:strCache>
                <c:ptCount val="1"/>
                <c:pt idx="0">
                  <c:v>   Total Revenues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3.3811819387377755E-3"/>
                  <c:y val="-4.90437961528725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03-414C-9A0A-D528EEBB8FA5}"/>
                </c:ext>
              </c:extLst>
            </c:dLbl>
            <c:dLbl>
              <c:idx val="3"/>
              <c:layout>
                <c:manualLayout>
                  <c:x val="-2.0287091632426653E-2"/>
                  <c:y val="-5.44931068365249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03-414C-9A0A-D528EEBB8FA5}"/>
                </c:ext>
              </c:extLst>
            </c:dLbl>
            <c:dLbl>
              <c:idx val="4"/>
              <c:layout>
                <c:manualLayout>
                  <c:x val="-1.014354581621332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03-414C-9A0A-D528EEBB8F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'Analysis-AutoPopulates'!$B$2:$J$2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'Analysis-AutoPopulates'!$B$16:$J$16</c:f>
              <c:numCache>
                <c:formatCode>_("$"* #,##0_);_("$"* \(#,##0\);_("$"* "-"??_);_(@_)</c:formatCode>
                <c:ptCount val="9"/>
                <c:pt idx="0">
                  <c:v>146662</c:v>
                </c:pt>
                <c:pt idx="1">
                  <c:v>196602</c:v>
                </c:pt>
                <c:pt idx="2">
                  <c:v>140212</c:v>
                </c:pt>
                <c:pt idx="3">
                  <c:v>269924</c:v>
                </c:pt>
                <c:pt idx="4">
                  <c:v>471428</c:v>
                </c:pt>
                <c:pt idx="5">
                  <c:v>624977</c:v>
                </c:pt>
                <c:pt idx="6">
                  <c:v>811589</c:v>
                </c:pt>
                <c:pt idx="7">
                  <c:v>975014.5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03-414C-9A0A-D528EEBB8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51881400"/>
        <c:axId val="552500520"/>
        <c:axId val="0"/>
      </c:bar3DChart>
      <c:catAx>
        <c:axId val="551881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500520"/>
        <c:crosses val="autoZero"/>
        <c:auto val="1"/>
        <c:lblAlgn val="ctr"/>
        <c:lblOffset val="100"/>
        <c:noMultiLvlLbl val="0"/>
      </c:catAx>
      <c:valAx>
        <c:axId val="552500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1881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accent5"/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'Analysis-AutoPopulates'!$A$59</c:f>
              <c:strCache>
                <c:ptCount val="1"/>
                <c:pt idx="0">
                  <c:v>Monthly Cost of District Operations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2880000" spcFirstLastPara="1" vertOverflow="ellipsis" wrap="square" lIns="38100" tIns="19050" rIns="38100" bIns="19050" anchor="b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'Analysis-AutoPopulates'!$B$58:$J$58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'Analysis-AutoPopulates'!$B$59:$J$59</c:f>
              <c:numCache>
                <c:formatCode>_("$"* #,##0_);_("$"* \(#,##0\);_("$"* "-"??_);_(@_)</c:formatCode>
                <c:ptCount val="9"/>
                <c:pt idx="0">
                  <c:v>12068.75</c:v>
                </c:pt>
                <c:pt idx="1">
                  <c:v>12918.75</c:v>
                </c:pt>
                <c:pt idx="2">
                  <c:v>5062.083333333333</c:v>
                </c:pt>
                <c:pt idx="3">
                  <c:v>6307.666666666667</c:v>
                </c:pt>
                <c:pt idx="4">
                  <c:v>20575</c:v>
                </c:pt>
                <c:pt idx="5">
                  <c:v>21826.166666666668</c:v>
                </c:pt>
                <c:pt idx="6">
                  <c:v>28696.75</c:v>
                </c:pt>
                <c:pt idx="7">
                  <c:v>42206.355000000003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0-4057-861A-1B6C7B9BC8C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52501696"/>
        <c:axId val="552502088"/>
      </c:barChart>
      <c:catAx>
        <c:axId val="55250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502088"/>
        <c:crosses val="autoZero"/>
        <c:auto val="1"/>
        <c:lblAlgn val="ctr"/>
        <c:lblOffset val="100"/>
        <c:noMultiLvlLbl val="0"/>
      </c:catAx>
      <c:valAx>
        <c:axId val="552502088"/>
        <c:scaling>
          <c:orientation val="minMax"/>
        </c:scaling>
        <c:delete val="1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crossAx val="552501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&amp;C&amp;16North St. Louis Soil &amp; Water Conservation District</c:oddFooter>
    </c:headerFooter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accent6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6"/>
                </a:solidFill>
              </a:rPr>
              <a:t>Revenue Sources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accent6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'Analysis-AutoPopulates'!$A$20</c:f>
              <c:strCache>
                <c:ptCount val="1"/>
                <c:pt idx="0">
                  <c:v>County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'Analysis-AutoPopulates'!$B$19:$J$19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'Analysis-AutoPopulates'!$B$20:$J$20</c:f>
              <c:numCache>
                <c:formatCode>_("$"* #,##0_);_("$"* \(#,##0\);_("$"* "-"??_);_(@_)</c:formatCode>
                <c:ptCount val="9"/>
                <c:pt idx="0">
                  <c:v>68503</c:v>
                </c:pt>
                <c:pt idx="1">
                  <c:v>68003</c:v>
                </c:pt>
                <c:pt idx="2">
                  <c:v>58003</c:v>
                </c:pt>
                <c:pt idx="3">
                  <c:v>58003</c:v>
                </c:pt>
                <c:pt idx="4">
                  <c:v>104398</c:v>
                </c:pt>
                <c:pt idx="5">
                  <c:v>374983</c:v>
                </c:pt>
                <c:pt idx="6">
                  <c:v>474559</c:v>
                </c:pt>
                <c:pt idx="7">
                  <c:v>406725.32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01-4F5C-AD87-8B75A73B30E8}"/>
            </c:ext>
          </c:extLst>
        </c:ser>
        <c:ser>
          <c:idx val="1"/>
          <c:order val="1"/>
          <c:tx>
            <c:strRef>
              <c:f>'Analysis-AutoPopulates'!$A$21</c:f>
              <c:strCache>
                <c:ptCount val="1"/>
                <c:pt idx="0">
                  <c:v>Federal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'Analysis-AutoPopulates'!$B$19:$J$19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'Analysis-AutoPopulates'!$B$21:$J$21</c:f>
              <c:numCache>
                <c:formatCode>_("$"* #,##0_);_("$"* \(#,##0\);_("$"*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103634.61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01-4F5C-AD87-8B75A73B30E8}"/>
            </c:ext>
          </c:extLst>
        </c:ser>
        <c:ser>
          <c:idx val="2"/>
          <c:order val="2"/>
          <c:tx>
            <c:strRef>
              <c:f>'Analysis-AutoPopulates'!$A$22</c:f>
              <c:strCache>
                <c:ptCount val="1"/>
                <c:pt idx="0">
                  <c:v>State Grant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'Analysis-AutoPopulates'!$B$19:$J$19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'Analysis-AutoPopulates'!$B$22:$J$22</c:f>
              <c:numCache>
                <c:formatCode>_("$"* #,##0_);_("$"* \(#,##0\);_("$"* "-"??_);_(@_)</c:formatCode>
                <c:ptCount val="9"/>
                <c:pt idx="0">
                  <c:v>59322</c:v>
                </c:pt>
                <c:pt idx="1">
                  <c:v>47688</c:v>
                </c:pt>
                <c:pt idx="2">
                  <c:v>58691</c:v>
                </c:pt>
                <c:pt idx="3">
                  <c:v>194616</c:v>
                </c:pt>
                <c:pt idx="4">
                  <c:v>172384</c:v>
                </c:pt>
                <c:pt idx="5">
                  <c:v>219962</c:v>
                </c:pt>
                <c:pt idx="6">
                  <c:v>274355</c:v>
                </c:pt>
                <c:pt idx="7">
                  <c:v>311992.24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01-4F5C-AD87-8B75A73B30E8}"/>
            </c:ext>
          </c:extLst>
        </c:ser>
        <c:ser>
          <c:idx val="3"/>
          <c:order val="3"/>
          <c:tx>
            <c:strRef>
              <c:f>'Analysis-AutoPopulates'!$A$23</c:f>
              <c:strCache>
                <c:ptCount val="1"/>
                <c:pt idx="0">
                  <c:v>Charges for Services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'Analysis-AutoPopulates'!$B$19:$J$19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'Analysis-AutoPopulates'!$B$23:$J$23</c:f>
              <c:numCache>
                <c:formatCode>_("$"* #,##0_);_("$"* \(#,##0\);_("$"* "-"??_);_(@_)</c:formatCode>
                <c:ptCount val="9"/>
                <c:pt idx="0">
                  <c:v>14266</c:v>
                </c:pt>
                <c:pt idx="1">
                  <c:v>78939</c:v>
                </c:pt>
                <c:pt idx="2">
                  <c:v>22405</c:v>
                </c:pt>
                <c:pt idx="3">
                  <c:v>11964</c:v>
                </c:pt>
                <c:pt idx="4">
                  <c:v>15839</c:v>
                </c:pt>
                <c:pt idx="5">
                  <c:v>28438</c:v>
                </c:pt>
                <c:pt idx="6">
                  <c:v>31576</c:v>
                </c:pt>
                <c:pt idx="7">
                  <c:v>100923.3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01-4F5C-AD87-8B75A73B30E8}"/>
            </c:ext>
          </c:extLst>
        </c:ser>
        <c:ser>
          <c:idx val="4"/>
          <c:order val="4"/>
          <c:tx>
            <c:strRef>
              <c:f>'Analysis-AutoPopulates'!$A$24</c:f>
              <c:strCache>
                <c:ptCount val="1"/>
                <c:pt idx="0">
                  <c:v>Miscellaneous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'Analysis-AutoPopulates'!$B$19:$J$19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'Analysis-AutoPopulates'!$B$24:$J$24</c:f>
              <c:numCache>
                <c:formatCode>_("$"* #,##0_);_("$"* \(#,##0\);_("$"* "-"??_);_(@_)</c:formatCode>
                <c:ptCount val="9"/>
                <c:pt idx="0">
                  <c:v>4571</c:v>
                </c:pt>
                <c:pt idx="1">
                  <c:v>1972</c:v>
                </c:pt>
                <c:pt idx="2">
                  <c:v>1113</c:v>
                </c:pt>
                <c:pt idx="3">
                  <c:v>341</c:v>
                </c:pt>
                <c:pt idx="4">
                  <c:v>371</c:v>
                </c:pt>
                <c:pt idx="5">
                  <c:v>1594</c:v>
                </c:pt>
                <c:pt idx="6">
                  <c:v>4117</c:v>
                </c:pt>
                <c:pt idx="7">
                  <c:v>1575.07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01-4F5C-AD87-8B75A73B3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24759544"/>
        <c:axId val="424760328"/>
        <c:axId val="0"/>
      </c:bar3DChart>
      <c:catAx>
        <c:axId val="42475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760328"/>
        <c:crosses val="autoZero"/>
        <c:auto val="1"/>
        <c:lblAlgn val="ctr"/>
        <c:lblOffset val="100"/>
        <c:noMultiLvlLbl val="0"/>
      </c:catAx>
      <c:valAx>
        <c:axId val="424760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759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solidFill>
        <a:schemeClr val="accent6"/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Expenditures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'Analysis-AutoPopulates'!$A$28</c:f>
              <c:strCache>
                <c:ptCount val="1"/>
                <c:pt idx="0">
                  <c:v>District Operations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0861242490518733E-2"/>
                  <c:y val="1.1928870119964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8F-42AB-B4E3-AF7505D2A923}"/>
                </c:ext>
              </c:extLst>
            </c:dLbl>
            <c:dLbl>
              <c:idx val="1"/>
              <c:layout>
                <c:manualLayout>
                  <c:x val="-6.7623602767243329E-3"/>
                  <c:y val="-1.5905160159953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8F-42AB-B4E3-AF7505D2A923}"/>
                </c:ext>
              </c:extLst>
            </c:dLbl>
            <c:dLbl>
              <c:idx val="2"/>
              <c:layout>
                <c:manualLayout>
                  <c:x val="-2.7049441106897207E-2"/>
                  <c:y val="-3.97629003998832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8F-42AB-B4E3-AF7505D2A923}"/>
                </c:ext>
              </c:extLst>
            </c:dLbl>
            <c:dLbl>
              <c:idx val="5"/>
              <c:layout>
                <c:manualLayout>
                  <c:x val="6.7623602767243017E-3"/>
                  <c:y val="-5.1691770519848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8F-42AB-B4E3-AF7505D2A923}"/>
                </c:ext>
              </c:extLst>
            </c:dLbl>
            <c:dLbl>
              <c:idx val="6"/>
              <c:layout>
                <c:manualLayout>
                  <c:x val="1.6905900691810756E-2"/>
                  <c:y val="-8.3502090839754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8F-42AB-B4E3-AF7505D2A923}"/>
                </c:ext>
              </c:extLst>
            </c:dLbl>
            <c:dLbl>
              <c:idx val="7"/>
              <c:layout>
                <c:manualLayout>
                  <c:x val="3.3472274019321673E-2"/>
                  <c:y val="-9.1454670919731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81-4720-80E3-7CF9425FB9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'Analysis-AutoPopulates'!$B$27:$J$27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'Analysis-AutoPopulates'!$B$28:$J$28</c:f>
              <c:numCache>
                <c:formatCode>_("$"* #,##0_);_("$"* \(#,##0\);_("$"* "-"??_);_(@_)</c:formatCode>
                <c:ptCount val="9"/>
                <c:pt idx="0">
                  <c:v>144825</c:v>
                </c:pt>
                <c:pt idx="1">
                  <c:v>155025</c:v>
                </c:pt>
                <c:pt idx="2">
                  <c:v>60744</c:v>
                </c:pt>
                <c:pt idx="3">
                  <c:v>75691</c:v>
                </c:pt>
                <c:pt idx="4">
                  <c:v>246900</c:v>
                </c:pt>
                <c:pt idx="5">
                  <c:v>261914</c:v>
                </c:pt>
                <c:pt idx="6">
                  <c:v>344361</c:v>
                </c:pt>
                <c:pt idx="7">
                  <c:v>506476.26000000007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8F-42AB-B4E3-AF7505D2A923}"/>
            </c:ext>
          </c:extLst>
        </c:ser>
        <c:ser>
          <c:idx val="1"/>
          <c:order val="1"/>
          <c:tx>
            <c:strRef>
              <c:f>'Analysis-AutoPopulates'!$A$29</c:f>
              <c:strCache>
                <c:ptCount val="1"/>
                <c:pt idx="0">
                  <c:v>Project Expenditures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7049441106897224E-2"/>
                  <c:y val="-6.362064063981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8F-42AB-B4E3-AF7505D2A923}"/>
                </c:ext>
              </c:extLst>
            </c:dLbl>
            <c:dLbl>
              <c:idx val="1"/>
              <c:layout>
                <c:manualLayout>
                  <c:x val="6.7623602767243017E-3"/>
                  <c:y val="-6.75969306798015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8F-42AB-B4E3-AF7505D2A923}"/>
                </c:ext>
              </c:extLst>
            </c:dLbl>
            <c:dLbl>
              <c:idx val="2"/>
              <c:layout>
                <c:manualLayout>
                  <c:x val="0"/>
                  <c:y val="-7.75376557797725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726762040795137"/>
                      <c:h val="5.95848627960770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408F-42AB-B4E3-AF7505D2A923}"/>
                </c:ext>
              </c:extLst>
            </c:dLbl>
            <c:dLbl>
              <c:idx val="3"/>
              <c:layout>
                <c:manualLayout>
                  <c:x val="-2.0287080830172968E-2"/>
                  <c:y val="-0.123264991239638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8F-42AB-B4E3-AF7505D2A923}"/>
                </c:ext>
              </c:extLst>
            </c:dLbl>
            <c:dLbl>
              <c:idx val="4"/>
              <c:layout>
                <c:manualLayout>
                  <c:x val="0"/>
                  <c:y val="-2.7834030279918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8F-42AB-B4E3-AF7505D2A923}"/>
                </c:ext>
              </c:extLst>
            </c:dLbl>
            <c:dLbl>
              <c:idx val="5"/>
              <c:layout>
                <c:manualLayout>
                  <c:x val="0"/>
                  <c:y val="-6.362064063981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08F-42AB-B4E3-AF7505D2A923}"/>
                </c:ext>
              </c:extLst>
            </c:dLbl>
            <c:dLbl>
              <c:idx val="6"/>
              <c:layout>
                <c:manualLayout>
                  <c:x val="-1.239751729015023E-16"/>
                  <c:y val="-8.7478380879743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08F-42AB-B4E3-AF7505D2A923}"/>
                </c:ext>
              </c:extLst>
            </c:dLbl>
            <c:dLbl>
              <c:idx val="7"/>
              <c:layout>
                <c:manualLayout>
                  <c:x val="-3.3472274019322899E-3"/>
                  <c:y val="-7.5549510759778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81-4720-80E3-7CF9425FB9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'Analysis-AutoPopulates'!$B$27:$J$27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'Analysis-AutoPopulates'!$B$29:$J$29</c:f>
              <c:numCache>
                <c:formatCode>_("$"* #,##0_);_("$"* \(#,##0\);_("$"* "-"??_);_(@_)</c:formatCode>
                <c:ptCount val="9"/>
                <c:pt idx="0">
                  <c:v>27039</c:v>
                </c:pt>
                <c:pt idx="1">
                  <c:v>59561</c:v>
                </c:pt>
                <c:pt idx="2">
                  <c:v>54706</c:v>
                </c:pt>
                <c:pt idx="3">
                  <c:v>160082</c:v>
                </c:pt>
                <c:pt idx="4">
                  <c:v>221140</c:v>
                </c:pt>
                <c:pt idx="5">
                  <c:v>352461</c:v>
                </c:pt>
                <c:pt idx="6">
                  <c:v>374794</c:v>
                </c:pt>
                <c:pt idx="7">
                  <c:v>453649.48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08F-42AB-B4E3-AF7505D2A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24761112"/>
        <c:axId val="424761504"/>
      </c:barChart>
      <c:scatterChart>
        <c:scatterStyle val="lineMarker"/>
        <c:varyColors val="0"/>
        <c:ser>
          <c:idx val="2"/>
          <c:order val="2"/>
          <c:tx>
            <c:v>Total Revenue</c:v>
          </c:tx>
          <c:spPr>
            <a:ln w="25400" cap="rnd">
              <a:noFill/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yVal>
            <c:numRef>
              <c:f>'Analysis-AutoPopulates'!$B$16:$J$16</c:f>
              <c:numCache>
                <c:formatCode>_("$"* #,##0_);_("$"* \(#,##0\);_("$"* "-"??_);_(@_)</c:formatCode>
                <c:ptCount val="9"/>
                <c:pt idx="0">
                  <c:v>146662</c:v>
                </c:pt>
                <c:pt idx="1">
                  <c:v>196602</c:v>
                </c:pt>
                <c:pt idx="2">
                  <c:v>140212</c:v>
                </c:pt>
                <c:pt idx="3">
                  <c:v>269924</c:v>
                </c:pt>
                <c:pt idx="4">
                  <c:v>471428</c:v>
                </c:pt>
                <c:pt idx="5">
                  <c:v>624977</c:v>
                </c:pt>
                <c:pt idx="6">
                  <c:v>811589</c:v>
                </c:pt>
                <c:pt idx="7">
                  <c:v>975014.5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408F-42AB-B4E3-AF7505D2A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4761112"/>
        <c:axId val="424761504"/>
      </c:scatterChart>
      <c:catAx>
        <c:axId val="424761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761504"/>
        <c:crosses val="autoZero"/>
        <c:auto val="1"/>
        <c:lblAlgn val="ctr"/>
        <c:lblOffset val="100"/>
        <c:noMultiLvlLbl val="0"/>
      </c:catAx>
      <c:valAx>
        <c:axId val="42476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761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0767634086264294E-3"/>
          <c:y val="0.84529441888194201"/>
          <c:w val="0.98784620669310075"/>
          <c:h val="0.130438188849993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>
      <c:oddHeader>&amp;C&amp;"-,Bold"&amp;14Annual Summary  &amp;"-,Regular"&amp;11
&amp;14Financial Statement Information</c:oddHeader>
      <c:oddFooter>&amp;LPrinted 3/10/2020&amp;C&amp;16North St. Louis Soil &amp; Water Conservation District
&amp;8Note: After shutting down in March 2014, the District re-opened in February 2015</c:oddFooter>
    </c:headerFooter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ln>
                  <a:noFill/>
                </a:ln>
                <a:solidFill>
                  <a:schemeClr val="accent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ln>
                  <a:noFill/>
                </a:ln>
                <a:solidFill>
                  <a:schemeClr val="accent1"/>
                </a:solidFill>
              </a:rPr>
              <a:t>District Operations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ln>
                <a:noFill/>
              </a:ln>
              <a:solidFill>
                <a:schemeClr val="accent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'Analysis-AutoPopulates'!$A$36</c:f>
              <c:strCache>
                <c:ptCount val="1"/>
                <c:pt idx="0">
                  <c:v>Personnel Services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'Analysis-AutoPopulates'!$B$35:$J$35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'Analysis-AutoPopulates'!$B$36:$J$36</c:f>
              <c:numCache>
                <c:formatCode>_("$"* #,##0_);_("$"* \(#,##0\);_("$"* "-"??_);_(@_)</c:formatCode>
                <c:ptCount val="9"/>
                <c:pt idx="0">
                  <c:v>104107</c:v>
                </c:pt>
                <c:pt idx="1">
                  <c:v>105889</c:v>
                </c:pt>
                <c:pt idx="2">
                  <c:v>31864</c:v>
                </c:pt>
                <c:pt idx="3">
                  <c:v>60004</c:v>
                </c:pt>
                <c:pt idx="4">
                  <c:v>135631</c:v>
                </c:pt>
                <c:pt idx="5">
                  <c:v>164994</c:v>
                </c:pt>
                <c:pt idx="6">
                  <c:v>240534</c:v>
                </c:pt>
                <c:pt idx="7">
                  <c:v>331887.77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A-4757-87DC-D282457B2E13}"/>
            </c:ext>
          </c:extLst>
        </c:ser>
        <c:ser>
          <c:idx val="1"/>
          <c:order val="1"/>
          <c:tx>
            <c:strRef>
              <c:f>'Analysis-AutoPopulates'!$A$37</c:f>
              <c:strCache>
                <c:ptCount val="1"/>
                <c:pt idx="0">
                  <c:v>Other Services and Charges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'Analysis-AutoPopulates'!$B$35:$J$35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'Analysis-AutoPopulates'!$B$37:$J$37</c:f>
              <c:numCache>
                <c:formatCode>_("$"* #,##0_);_("$"* \(#,##0\);_("$"* "-"??_);_(@_)</c:formatCode>
                <c:ptCount val="9"/>
                <c:pt idx="0">
                  <c:v>37946</c:v>
                </c:pt>
                <c:pt idx="1">
                  <c:v>47189</c:v>
                </c:pt>
                <c:pt idx="2">
                  <c:v>28733</c:v>
                </c:pt>
                <c:pt idx="3">
                  <c:v>15036</c:v>
                </c:pt>
                <c:pt idx="4">
                  <c:v>30944</c:v>
                </c:pt>
                <c:pt idx="5">
                  <c:v>60922</c:v>
                </c:pt>
                <c:pt idx="6">
                  <c:v>71612</c:v>
                </c:pt>
                <c:pt idx="7">
                  <c:v>124984.16000000002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2A-4757-87DC-D282457B2E13}"/>
            </c:ext>
          </c:extLst>
        </c:ser>
        <c:ser>
          <c:idx val="2"/>
          <c:order val="2"/>
          <c:tx>
            <c:strRef>
              <c:f>'Analysis-AutoPopulates'!$A$38</c:f>
              <c:strCache>
                <c:ptCount val="1"/>
                <c:pt idx="0">
                  <c:v>Supplies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'Analysis-AutoPopulates'!$B$35:$J$35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'Analysis-AutoPopulates'!$B$38:$J$38</c:f>
              <c:numCache>
                <c:formatCode>_("$"* #,##0_);_("$"* \(#,##0\);_("$"* "-"??_);_(@_)</c:formatCode>
                <c:ptCount val="9"/>
                <c:pt idx="0">
                  <c:v>2772</c:v>
                </c:pt>
                <c:pt idx="1">
                  <c:v>1947</c:v>
                </c:pt>
                <c:pt idx="2">
                  <c:v>147</c:v>
                </c:pt>
                <c:pt idx="3">
                  <c:v>651</c:v>
                </c:pt>
                <c:pt idx="4">
                  <c:v>9105</c:v>
                </c:pt>
                <c:pt idx="5">
                  <c:v>12869</c:v>
                </c:pt>
                <c:pt idx="6">
                  <c:v>14021</c:v>
                </c:pt>
                <c:pt idx="7">
                  <c:v>25281.33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2A-4757-87DC-D282457B2E13}"/>
            </c:ext>
          </c:extLst>
        </c:ser>
        <c:ser>
          <c:idx val="3"/>
          <c:order val="3"/>
          <c:tx>
            <c:strRef>
              <c:f>'Analysis-AutoPopulates'!$A$39</c:f>
              <c:strCache>
                <c:ptCount val="1"/>
                <c:pt idx="0">
                  <c:v>Capital Outlay-depr.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'Analysis-AutoPopulates'!$B$35:$J$35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'Analysis-AutoPopulates'!$B$39:$J$39</c:f>
              <c:numCache>
                <c:formatCode>_("$"* #,##0_);_("$"* \(#,##0\);_("$"*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71220</c:v>
                </c:pt>
                <c:pt idx="5">
                  <c:v>23129</c:v>
                </c:pt>
                <c:pt idx="6">
                  <c:v>18194</c:v>
                </c:pt>
                <c:pt idx="7">
                  <c:v>24323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2A-4757-87DC-D282457B2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424762288"/>
        <c:axId val="424133488"/>
      </c:barChart>
      <c:catAx>
        <c:axId val="42476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133488"/>
        <c:crosses val="autoZero"/>
        <c:auto val="1"/>
        <c:lblAlgn val="ctr"/>
        <c:lblOffset val="100"/>
        <c:noMultiLvlLbl val="0"/>
      </c:catAx>
      <c:valAx>
        <c:axId val="42413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10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76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accent1"/>
      </a:solidFill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accent2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2"/>
                </a:solidFill>
              </a:rPr>
              <a:t>Project Expenditures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accent2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670722298452"/>
          <c:y val="0.33255410957180009"/>
          <c:w val="0.48024436934804032"/>
          <c:h val="0.402839253799957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'Analysis-AutoPopulates'!$A$43</c:f>
              <c:strCache>
                <c:ptCount val="1"/>
                <c:pt idx="0">
                  <c:v>District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'Analysis-AutoPopulates'!$B$42:$J$42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'Analysis-AutoPopulates'!$B$43:$J$43</c:f>
              <c:numCache>
                <c:formatCode>_("$"* #,##0_);_("$"* \(#,##0\);_("$"* "-"??_);_(@_)</c:formatCode>
                <c:ptCount val="9"/>
                <c:pt idx="0">
                  <c:v>12246</c:v>
                </c:pt>
                <c:pt idx="1">
                  <c:v>53931</c:v>
                </c:pt>
                <c:pt idx="2">
                  <c:v>22717</c:v>
                </c:pt>
                <c:pt idx="3">
                  <c:v>4614</c:v>
                </c:pt>
                <c:pt idx="4">
                  <c:v>7812</c:v>
                </c:pt>
                <c:pt idx="5">
                  <c:v>20162</c:v>
                </c:pt>
                <c:pt idx="6">
                  <c:v>18751</c:v>
                </c:pt>
                <c:pt idx="7">
                  <c:v>8903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87D-90CC-F7F387E0880F}"/>
            </c:ext>
          </c:extLst>
        </c:ser>
        <c:ser>
          <c:idx val="1"/>
          <c:order val="1"/>
          <c:tx>
            <c:strRef>
              <c:f>'Analysis-AutoPopulates'!$A$44</c:f>
              <c:strCache>
                <c:ptCount val="1"/>
                <c:pt idx="0">
                  <c:v>County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'Analysis-AutoPopulates'!$B$42:$J$42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'Analysis-AutoPopulates'!$B$44:$J$44</c:f>
              <c:numCache>
                <c:formatCode>_("$"* #,##0_);_("$"* \(#,##0\);_("$"*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128909</c:v>
                </c:pt>
                <c:pt idx="5">
                  <c:v>246224</c:v>
                </c:pt>
                <c:pt idx="6">
                  <c:v>291977</c:v>
                </c:pt>
                <c:pt idx="7">
                  <c:v>255201.07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C1-487D-90CC-F7F387E0880F}"/>
            </c:ext>
          </c:extLst>
        </c:ser>
        <c:ser>
          <c:idx val="2"/>
          <c:order val="2"/>
          <c:tx>
            <c:strRef>
              <c:f>'Analysis-AutoPopulates'!$A$45</c:f>
              <c:strCache>
                <c:ptCount val="1"/>
                <c:pt idx="0">
                  <c:v>Federal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'Analysis-AutoPopulates'!$B$42:$J$42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'Analysis-AutoPopulates'!$B$45:$J$45</c:f>
              <c:numCache>
                <c:formatCode>_("$"* #,##0_);_("$"* \(#,##0\);_("$"*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21500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C1-487D-90CC-F7F387E0880F}"/>
            </c:ext>
          </c:extLst>
        </c:ser>
        <c:ser>
          <c:idx val="3"/>
          <c:order val="3"/>
          <c:tx>
            <c:strRef>
              <c:f>'Analysis-AutoPopulates'!$A$46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'Analysis-AutoPopulates'!$B$42:$J$42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'Analysis-AutoPopulates'!$B$46:$J$46</c:f>
              <c:numCache>
                <c:formatCode>_("$"* #,##0_);_("$"* \(#,##0\);_("$"* "-"??_);_(@_)</c:formatCode>
                <c:ptCount val="9"/>
                <c:pt idx="0">
                  <c:v>14793</c:v>
                </c:pt>
                <c:pt idx="1">
                  <c:v>5630</c:v>
                </c:pt>
                <c:pt idx="2">
                  <c:v>31989</c:v>
                </c:pt>
                <c:pt idx="3">
                  <c:v>155468</c:v>
                </c:pt>
                <c:pt idx="4">
                  <c:v>84419</c:v>
                </c:pt>
                <c:pt idx="5">
                  <c:v>86075</c:v>
                </c:pt>
                <c:pt idx="6">
                  <c:v>64066</c:v>
                </c:pt>
                <c:pt idx="7">
                  <c:v>168045.40999999997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C1-487D-90CC-F7F387E08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424134272"/>
        <c:axId val="423012656"/>
      </c:barChart>
      <c:catAx>
        <c:axId val="42413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012656"/>
        <c:crosses val="autoZero"/>
        <c:auto val="1"/>
        <c:lblAlgn val="ctr"/>
        <c:lblOffset val="100"/>
        <c:noMultiLvlLbl val="0"/>
      </c:catAx>
      <c:valAx>
        <c:axId val="4230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10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134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544564979522933"/>
          <c:y val="0.26036186542061518"/>
          <c:w val="0.14995895914832189"/>
          <c:h val="0.567861358671243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accent2"/>
      </a:solidFill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Operational Cost and Fund</a:t>
            </a:r>
            <a:r>
              <a:rPr lang="en-US" baseline="0"/>
              <a:t> Balances</a:t>
            </a:r>
            <a:endParaRPr lang="en-US"/>
          </a:p>
        </c:rich>
      </c:tx>
      <c:layout>
        <c:manualLayout>
          <c:xMode val="edge"/>
          <c:yMode val="edge"/>
          <c:x val="0.4177088683322942"/>
          <c:y val="2.26205658347523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1228437690787186"/>
          <c:y val="0.14276321277336984"/>
          <c:w val="0.61607522404183312"/>
          <c:h val="0.648685408171777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'Analysis-AutoPopulates'!$A$50</c:f>
              <c:strCache>
                <c:ptCount val="1"/>
                <c:pt idx="0">
                  <c:v>Monthly Cost of District Operations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40000"/>
                    <a:lumOff val="60000"/>
                  </a:schemeClr>
                </a:gs>
                <a:gs pos="46000">
                  <a:schemeClr val="accent6">
                    <a:lumMod val="95000"/>
                    <a:lumOff val="5000"/>
                  </a:schemeClr>
                </a:gs>
                <a:gs pos="100000">
                  <a:schemeClr val="accent6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cat>
            <c:numRef>
              <c:f>'Analysis-AutoPopulates'!$B$49:$J$49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'Analysis-AutoPopulates'!$B$50:$J$50</c:f>
              <c:numCache>
                <c:formatCode>_("$"* #,##0_);_("$"* \(#,##0\);_("$"* "-"??_);_(@_)</c:formatCode>
                <c:ptCount val="9"/>
                <c:pt idx="0">
                  <c:v>12068.75</c:v>
                </c:pt>
                <c:pt idx="1">
                  <c:v>12918.75</c:v>
                </c:pt>
                <c:pt idx="2">
                  <c:v>5062.083333333333</c:v>
                </c:pt>
                <c:pt idx="3">
                  <c:v>6307.666666666667</c:v>
                </c:pt>
                <c:pt idx="4">
                  <c:v>20575</c:v>
                </c:pt>
                <c:pt idx="5">
                  <c:v>21826.166666666668</c:v>
                </c:pt>
                <c:pt idx="6">
                  <c:v>28696.75</c:v>
                </c:pt>
                <c:pt idx="7">
                  <c:v>42206.355000000003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C-467E-9E38-989D9E4F5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766440"/>
        <c:axId val="420766048"/>
      </c:barChart>
      <c:lineChart>
        <c:grouping val="standard"/>
        <c:varyColors val="0"/>
        <c:ser>
          <c:idx val="1"/>
          <c:order val="1"/>
          <c:tx>
            <c:strRef>
              <c:f>'Analysis-AutoPopulates'!$A$51</c:f>
              <c:strCache>
                <c:ptCount val="1"/>
                <c:pt idx="0">
                  <c:v># of Months Fund Balance will Support Operations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'Analysis-AutoPopulates'!$B$49:$J$49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'Analysis-AutoPopulates'!$B$51:$J$51</c:f>
              <c:numCache>
                <c:formatCode>0.0</c:formatCode>
                <c:ptCount val="9"/>
                <c:pt idx="0">
                  <c:v>2.2304712584153288</c:v>
                </c:pt>
                <c:pt idx="1">
                  <c:v>1.3534591194968553</c:v>
                </c:pt>
                <c:pt idx="2">
                  <c:v>6.6567454111449509</c:v>
                </c:pt>
                <c:pt idx="3">
                  <c:v>5.8168894995508111</c:v>
                </c:pt>
                <c:pt idx="4">
                  <c:v>3.1180558930741191</c:v>
                </c:pt>
                <c:pt idx="5">
                  <c:v>3.3907007643730385</c:v>
                </c:pt>
                <c:pt idx="6">
                  <c:v>5.7597825537735101</c:v>
                </c:pt>
                <c:pt idx="7">
                  <c:v>4.3842153628286544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C-467E-9E38-989D9E4F5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89344"/>
        <c:axId val="222967216"/>
      </c:lineChart>
      <c:catAx>
        <c:axId val="420766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766048"/>
        <c:crosses val="autoZero"/>
        <c:auto val="1"/>
        <c:lblAlgn val="ctr"/>
        <c:lblOffset val="100"/>
        <c:noMultiLvlLbl val="0"/>
      </c:catAx>
      <c:valAx>
        <c:axId val="42076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b" anchorCtr="0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Monthly Cost of District Operations</a:t>
                </a:r>
              </a:p>
            </c:rich>
          </c:tx>
          <c:layout>
            <c:manualLayout>
              <c:xMode val="edge"/>
              <c:yMode val="edge"/>
              <c:x val="0.21195273688861388"/>
              <c:y val="0.1461872359530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b" anchorCtr="0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766440"/>
        <c:crosses val="autoZero"/>
        <c:crossBetween val="between"/>
      </c:valAx>
      <c:valAx>
        <c:axId val="222967216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289344"/>
        <c:crosses val="max"/>
        <c:crossBetween val="between"/>
      </c:valAx>
      <c:catAx>
        <c:axId val="42028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29672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accent6">
                  <a:lumMod val="50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3879594298527486E-2"/>
          <c:y val="0.30172625163459743"/>
          <c:w val="0.93224081140294501"/>
          <c:h val="0.601900052707427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'Analysis-AutoPopulates'!$A$55</c:f>
              <c:strCache>
                <c:ptCount val="1"/>
                <c:pt idx="0">
                  <c:v>Unrestricted Fund Balance</c:v>
                </c:pt>
              </c:strCache>
            </c:strRef>
          </c:tx>
          <c:spPr>
            <a:gradFill>
              <a:gsLst>
                <a:gs pos="0">
                  <a:schemeClr val="accent6">
                    <a:lumMod val="40000"/>
                    <a:lumOff val="60000"/>
                  </a:schemeClr>
                </a:gs>
                <a:gs pos="46000">
                  <a:schemeClr val="accent6">
                    <a:lumMod val="95000"/>
                    <a:lumOff val="5000"/>
                  </a:schemeClr>
                </a:gs>
                <a:gs pos="100000">
                  <a:schemeClr val="accent6">
                    <a:lumMod val="60000"/>
                  </a:schemeClr>
                </a:gs>
              </a:gsLst>
              <a:path path="circle">
                <a:fillToRect l="50000" t="130000" r="50000" b="-30000"/>
              </a:path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6"/>
              <c:layout>
                <c:manualLayout>
                  <c:x val="-3.0767449201608921E-3"/>
                  <c:y val="3.12285099082897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BF-477C-A7DB-94DF765AEB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'Analysis-AutoPopulates'!$B$54:$J$54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'Analysis-AutoPopulates'!$B$55:$J$55</c:f>
              <c:numCache>
                <c:formatCode>_("$"* #,##0_);_("$"* \(#,##0\);_("$"* "-"??_);_(@_)</c:formatCode>
                <c:ptCount val="9"/>
                <c:pt idx="0">
                  <c:v>26919</c:v>
                </c:pt>
                <c:pt idx="1">
                  <c:v>17485</c:v>
                </c:pt>
                <c:pt idx="2">
                  <c:v>33697</c:v>
                </c:pt>
                <c:pt idx="3">
                  <c:v>36691</c:v>
                </c:pt>
                <c:pt idx="4">
                  <c:v>64154</c:v>
                </c:pt>
                <c:pt idx="5">
                  <c:v>74006</c:v>
                </c:pt>
                <c:pt idx="6">
                  <c:v>165287.03999999998</c:v>
                </c:pt>
                <c:pt idx="7">
                  <c:v>185041.75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F-477C-A7DB-94DF765AEB8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56385216"/>
        <c:axId val="556385608"/>
      </c:barChart>
      <c:catAx>
        <c:axId val="55638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385608"/>
        <c:crosses val="autoZero"/>
        <c:auto val="1"/>
        <c:lblAlgn val="ctr"/>
        <c:lblOffset val="100"/>
        <c:noMultiLvlLbl val="0"/>
      </c:catAx>
      <c:valAx>
        <c:axId val="556385608"/>
        <c:scaling>
          <c:orientation val="minMax"/>
        </c:scaling>
        <c:delete val="1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crossAx val="556385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>
      <c:oddHeader>&amp;C&amp;"-,Bold"&amp;14Annual Summary  &amp;"-,Regular"&amp;11
&amp;14Financial Statement Information</c:oddHeader>
      <c:oddFooter>&amp;C&amp;16North St. Louis Soil &amp; Water Conservation District
&amp;8Note: After shutting down in 2014, the District re-opened in February 2015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77638</xdr:colOff>
      <xdr:row>1</xdr:row>
      <xdr:rowOff>0</xdr:rowOff>
    </xdr:from>
    <xdr:to>
      <xdr:col>5</xdr:col>
      <xdr:colOff>595221</xdr:colOff>
      <xdr:row>13</xdr:row>
      <xdr:rowOff>120770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422693</xdr:colOff>
      <xdr:row>52</xdr:row>
      <xdr:rowOff>86264</xdr:rowOff>
    </xdr:from>
    <xdr:to>
      <xdr:col>12</xdr:col>
      <xdr:colOff>474451</xdr:colOff>
      <xdr:row>66</xdr:row>
      <xdr:rowOff>129395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103517</xdr:colOff>
      <xdr:row>1</xdr:row>
      <xdr:rowOff>17254</xdr:rowOff>
    </xdr:from>
    <xdr:to>
      <xdr:col>12</xdr:col>
      <xdr:colOff>595222</xdr:colOff>
      <xdr:row>13</xdr:row>
      <xdr:rowOff>129396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94890</xdr:colOff>
      <xdr:row>14</xdr:row>
      <xdr:rowOff>163901</xdr:rowOff>
    </xdr:from>
    <xdr:to>
      <xdr:col>6</xdr:col>
      <xdr:colOff>2875</xdr:colOff>
      <xdr:row>32</xdr:row>
      <xdr:rowOff>43133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112142</xdr:colOff>
      <xdr:row>14</xdr:row>
      <xdr:rowOff>163903</xdr:rowOff>
    </xdr:from>
    <xdr:to>
      <xdr:col>12</xdr:col>
      <xdr:colOff>622299</xdr:colOff>
      <xdr:row>23</xdr:row>
      <xdr:rowOff>88900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112143</xdr:colOff>
      <xdr:row>23</xdr:row>
      <xdr:rowOff>138023</xdr:rowOff>
    </xdr:from>
    <xdr:to>
      <xdr:col>12</xdr:col>
      <xdr:colOff>612475</xdr:colOff>
      <xdr:row>32</xdr:row>
      <xdr:rowOff>77639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207034</xdr:colOff>
      <xdr:row>34</xdr:row>
      <xdr:rowOff>60386</xdr:rowOff>
    </xdr:from>
    <xdr:to>
      <xdr:col>12</xdr:col>
      <xdr:colOff>448573</xdr:colOff>
      <xdr:row>52</xdr:row>
      <xdr:rowOff>60385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3835</xdr:colOff>
      <xdr:row>52</xdr:row>
      <xdr:rowOff>161625</xdr:rowOff>
    </xdr:from>
    <xdr:to>
      <xdr:col>6</xdr:col>
      <xdr:colOff>245374</xdr:colOff>
      <xdr:row>66</xdr:row>
      <xdr:rowOff>23603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Q76"/>
  <sheetViews>
    <sheetView workbookViewId="0">
      <selection activeCell="I21" sqref="I21"/>
    </sheetView>
  </sheetViews>
  <sheetFormatPr defaultRowHeight="14.45"/>
  <cols>
    <col min="1" max="1" width="50.42578125" customWidth="1"/>
    <col min="2" max="2" width="10.85546875" style="19" customWidth="1"/>
    <col min="3" max="3" width="12.5703125" style="19" bestFit="1" customWidth="1"/>
    <col min="4" max="4" width="10.85546875" style="19" bestFit="1" customWidth="1"/>
    <col min="5" max="7" width="10.85546875" style="19" customWidth="1"/>
    <col min="8" max="8" width="9.85546875" style="3" bestFit="1" customWidth="1"/>
    <col min="10" max="10" width="10.42578125" customWidth="1"/>
  </cols>
  <sheetData>
    <row r="1" spans="1:17" s="25" customFormat="1" ht="15.6">
      <c r="A1" s="24" t="s">
        <v>0</v>
      </c>
      <c r="B1" s="25">
        <v>2012</v>
      </c>
      <c r="C1" s="25">
        <v>2013</v>
      </c>
      <c r="D1" s="25">
        <v>2014</v>
      </c>
      <c r="E1" s="25">
        <v>2015</v>
      </c>
      <c r="F1" s="25">
        <v>2016</v>
      </c>
      <c r="G1" s="25">
        <v>2017</v>
      </c>
      <c r="H1" s="25">
        <v>2018</v>
      </c>
      <c r="I1" s="25">
        <v>2019</v>
      </c>
      <c r="J1" s="25">
        <v>2020</v>
      </c>
      <c r="K1" s="25">
        <v>2021</v>
      </c>
      <c r="L1" s="25">
        <v>2022</v>
      </c>
      <c r="M1" s="25">
        <v>2023</v>
      </c>
      <c r="N1" s="25">
        <v>2024</v>
      </c>
      <c r="O1" s="25">
        <v>2025</v>
      </c>
      <c r="P1" s="25">
        <v>2026</v>
      </c>
      <c r="Q1" s="25">
        <v>2027</v>
      </c>
    </row>
    <row r="2" spans="1:17" s="3" customFormat="1">
      <c r="A2" s="4" t="s">
        <v>1</v>
      </c>
      <c r="B2" s="72" t="s">
        <v>2</v>
      </c>
      <c r="C2" s="72" t="s">
        <v>3</v>
      </c>
      <c r="D2" s="72" t="s">
        <v>2</v>
      </c>
      <c r="E2" s="72" t="s">
        <v>2</v>
      </c>
      <c r="F2" s="72" t="s">
        <v>3</v>
      </c>
      <c r="G2" s="72" t="s">
        <v>3</v>
      </c>
      <c r="H2" s="73" t="s">
        <v>3</v>
      </c>
      <c r="I2" s="72" t="s">
        <v>4</v>
      </c>
    </row>
    <row r="3" spans="1:17" s="3" customFormat="1">
      <c r="A3" s="3" t="s">
        <v>5</v>
      </c>
      <c r="B3" s="14">
        <f>74755+177</f>
        <v>74932</v>
      </c>
      <c r="C3" s="14">
        <v>43827</v>
      </c>
      <c r="D3" s="14">
        <v>38891</v>
      </c>
      <c r="E3" s="14">
        <v>61998</v>
      </c>
      <c r="F3" s="14">
        <v>213583</v>
      </c>
      <c r="G3" s="14">
        <v>368438</v>
      </c>
      <c r="H3" s="19">
        <v>427324.04</v>
      </c>
      <c r="I3" s="3">
        <v>414542</v>
      </c>
    </row>
    <row r="4" spans="1:17" s="3" customFormat="1">
      <c r="A4" s="3" t="s">
        <v>6</v>
      </c>
      <c r="B4" s="14">
        <v>0</v>
      </c>
      <c r="C4" s="14">
        <v>0</v>
      </c>
      <c r="D4" s="14">
        <v>0</v>
      </c>
      <c r="E4" s="14">
        <v>30546</v>
      </c>
      <c r="F4" s="14">
        <v>0</v>
      </c>
      <c r="G4" s="14">
        <v>0</v>
      </c>
      <c r="H4" s="19">
        <v>0</v>
      </c>
      <c r="I4" s="3">
        <v>0</v>
      </c>
    </row>
    <row r="5" spans="1:17" s="3" customFormat="1">
      <c r="A5" s="3" t="s">
        <v>7</v>
      </c>
      <c r="B5" s="19">
        <v>0</v>
      </c>
      <c r="C5" s="19">
        <v>0</v>
      </c>
      <c r="D5" s="19">
        <v>0</v>
      </c>
      <c r="E5" s="19">
        <v>0</v>
      </c>
      <c r="F5" s="19">
        <v>20265</v>
      </c>
      <c r="G5" s="19">
        <v>10583</v>
      </c>
      <c r="H5" s="19">
        <v>61460</v>
      </c>
      <c r="I5" s="84">
        <f>27988.82+14725.93+84.8+9300.77+43790.18+64101.72+11485.18</f>
        <v>171477.4</v>
      </c>
    </row>
    <row r="6" spans="1:17" s="3" customFormat="1">
      <c r="A6" s="3" t="s">
        <v>8</v>
      </c>
      <c r="B6" s="19">
        <v>0</v>
      </c>
      <c r="C6" s="19">
        <v>19417</v>
      </c>
      <c r="D6" s="19">
        <v>38748</v>
      </c>
      <c r="E6" s="19">
        <v>0</v>
      </c>
      <c r="F6" s="19">
        <v>16327</v>
      </c>
      <c r="G6" s="19">
        <v>2423</v>
      </c>
      <c r="H6" s="19">
        <v>6709</v>
      </c>
      <c r="I6" s="84">
        <f>1218.19+469.66+105+76.56+1265.09</f>
        <v>3134.5</v>
      </c>
    </row>
    <row r="7" spans="1:17" s="3" customFormat="1" hidden="1">
      <c r="A7" s="3" t="s">
        <v>9</v>
      </c>
      <c r="B7" s="19"/>
      <c r="C7" s="19"/>
      <c r="D7" s="19"/>
      <c r="E7" s="19"/>
      <c r="F7" s="19"/>
      <c r="G7" s="19">
        <v>0</v>
      </c>
      <c r="H7" s="3">
        <v>0</v>
      </c>
    </row>
    <row r="8" spans="1:17" s="26" customFormat="1" hidden="1">
      <c r="A8" s="26" t="s">
        <v>10</v>
      </c>
      <c r="B8" s="29"/>
      <c r="C8" s="29"/>
      <c r="D8" s="29"/>
      <c r="E8" s="29"/>
      <c r="F8" s="29"/>
      <c r="G8" s="29">
        <v>0</v>
      </c>
      <c r="H8" s="26">
        <v>0</v>
      </c>
    </row>
    <row r="9" spans="1:17" s="4" customFormat="1">
      <c r="A9" s="4" t="s">
        <v>11</v>
      </c>
      <c r="B9" s="30">
        <f>SUM(B3:B8)</f>
        <v>74932</v>
      </c>
      <c r="C9" s="30">
        <f t="shared" ref="C9:Q9" si="0">SUM(C3:C8)</f>
        <v>63244</v>
      </c>
      <c r="D9" s="30">
        <f t="shared" si="0"/>
        <v>77639</v>
      </c>
      <c r="E9" s="30">
        <f t="shared" si="0"/>
        <v>92544</v>
      </c>
      <c r="F9" s="30">
        <f t="shared" si="0"/>
        <v>250175</v>
      </c>
      <c r="G9" s="30">
        <f t="shared" si="0"/>
        <v>381444</v>
      </c>
      <c r="H9" s="30">
        <f t="shared" si="0"/>
        <v>495493.04</v>
      </c>
      <c r="I9" s="30">
        <f t="shared" si="0"/>
        <v>589153.9</v>
      </c>
      <c r="J9" s="30">
        <f t="shared" si="0"/>
        <v>0</v>
      </c>
      <c r="K9" s="30">
        <f t="shared" si="0"/>
        <v>0</v>
      </c>
      <c r="L9" s="30">
        <f t="shared" si="0"/>
        <v>0</v>
      </c>
      <c r="M9" s="30">
        <f t="shared" si="0"/>
        <v>0</v>
      </c>
      <c r="N9" s="30">
        <f t="shared" si="0"/>
        <v>0</v>
      </c>
      <c r="O9" s="30">
        <f t="shared" si="0"/>
        <v>0</v>
      </c>
      <c r="P9" s="30">
        <f t="shared" si="0"/>
        <v>0</v>
      </c>
      <c r="Q9" s="30">
        <f t="shared" si="0"/>
        <v>0</v>
      </c>
    </row>
    <row r="10" spans="1:17" s="3" customFormat="1" ht="14.45" customHeight="1">
      <c r="B10" s="19"/>
      <c r="C10" s="19"/>
      <c r="D10" s="19"/>
      <c r="E10" s="19"/>
      <c r="F10" s="19"/>
      <c r="G10" s="19"/>
    </row>
    <row r="11" spans="1:17" s="3" customFormat="1">
      <c r="A11" s="4" t="s">
        <v>12</v>
      </c>
      <c r="B11" s="19"/>
      <c r="C11" s="19"/>
      <c r="D11" s="19"/>
      <c r="E11" s="19"/>
      <c r="F11" s="19"/>
      <c r="G11" s="19"/>
    </row>
    <row r="12" spans="1:17" s="3" customFormat="1">
      <c r="A12" s="3" t="s">
        <v>13</v>
      </c>
      <c r="B12" s="19">
        <v>1280</v>
      </c>
      <c r="C12" s="19">
        <f>1496+17712</f>
        <v>19208</v>
      </c>
      <c r="D12" s="19">
        <v>20761</v>
      </c>
      <c r="E12" s="19">
        <v>24696</v>
      </c>
      <c r="F12" s="19">
        <v>18810</v>
      </c>
      <c r="G12" s="19">
        <v>17190</v>
      </c>
      <c r="H12" s="19">
        <v>19816</v>
      </c>
      <c r="I12" s="19">
        <f>29640.58+5937.8</f>
        <v>35578.380000000005</v>
      </c>
    </row>
    <row r="13" spans="1:17" s="3" customFormat="1">
      <c r="A13" s="3" t="s">
        <v>14</v>
      </c>
      <c r="B13" s="19">
        <v>2481</v>
      </c>
      <c r="C13" s="19">
        <v>2288</v>
      </c>
      <c r="D13" s="19">
        <v>1081</v>
      </c>
      <c r="E13" s="19">
        <v>0</v>
      </c>
      <c r="F13" s="19">
        <v>5020</v>
      </c>
      <c r="G13" s="19">
        <v>822</v>
      </c>
      <c r="H13" s="19">
        <v>9826</v>
      </c>
      <c r="I13" s="19">
        <f>13392.33+106.58-1518.34-7524.77</f>
        <v>4455.7999999999993</v>
      </c>
    </row>
    <row r="14" spans="1:17" s="3" customFormat="1" hidden="1">
      <c r="A14" s="3" t="s">
        <v>15</v>
      </c>
      <c r="B14" s="19"/>
      <c r="C14" s="19"/>
      <c r="D14" s="19"/>
      <c r="E14" s="19"/>
      <c r="F14" s="19"/>
      <c r="G14" s="19">
        <v>0</v>
      </c>
      <c r="H14" s="19">
        <v>0</v>
      </c>
      <c r="I14" s="19"/>
    </row>
    <row r="15" spans="1:17" s="3" customFormat="1">
      <c r="A15" s="3" t="s">
        <v>16</v>
      </c>
      <c r="B15" s="19">
        <v>0</v>
      </c>
      <c r="C15" s="19">
        <v>301</v>
      </c>
      <c r="D15" s="19">
        <v>0</v>
      </c>
      <c r="E15" s="19">
        <v>0</v>
      </c>
      <c r="F15" s="19">
        <v>0</v>
      </c>
      <c r="G15" s="19">
        <v>5650</v>
      </c>
      <c r="H15" s="19"/>
      <c r="I15" s="19">
        <v>548.13</v>
      </c>
    </row>
    <row r="16" spans="1:17" s="28" customFormat="1">
      <c r="A16" s="26" t="s">
        <v>17</v>
      </c>
      <c r="B16" s="27">
        <v>44252</v>
      </c>
      <c r="C16" s="27">
        <v>23962</v>
      </c>
      <c r="D16" s="27">
        <v>22100</v>
      </c>
      <c r="E16" s="27">
        <v>0</v>
      </c>
      <c r="F16" s="27">
        <v>160511</v>
      </c>
      <c r="G16" s="27">
        <v>281346</v>
      </c>
      <c r="H16" s="71">
        <v>296981</v>
      </c>
      <c r="I16" s="19">
        <v>363529.84</v>
      </c>
      <c r="J16" s="26"/>
      <c r="K16" s="26"/>
      <c r="L16" s="26"/>
      <c r="M16" s="26"/>
    </row>
    <row r="17" spans="1:17" s="4" customFormat="1">
      <c r="A17" s="4" t="s">
        <v>18</v>
      </c>
      <c r="B17" s="11">
        <f>SUM(B12:B16)</f>
        <v>48013</v>
      </c>
      <c r="C17" s="11">
        <f t="shared" ref="C17:Q17" si="1">SUM(C12:C16)</f>
        <v>45759</v>
      </c>
      <c r="D17" s="11">
        <f t="shared" si="1"/>
        <v>43942</v>
      </c>
      <c r="E17" s="11">
        <f t="shared" si="1"/>
        <v>24696</v>
      </c>
      <c r="F17" s="11">
        <f t="shared" si="1"/>
        <v>184341</v>
      </c>
      <c r="G17" s="11">
        <f t="shared" si="1"/>
        <v>305008</v>
      </c>
      <c r="H17" s="11">
        <f t="shared" si="1"/>
        <v>326623</v>
      </c>
      <c r="I17" s="11">
        <f t="shared" si="1"/>
        <v>404112.15</v>
      </c>
      <c r="J17" s="11">
        <f t="shared" si="1"/>
        <v>0</v>
      </c>
      <c r="K17" s="11">
        <f t="shared" si="1"/>
        <v>0</v>
      </c>
      <c r="L17" s="11">
        <f t="shared" si="1"/>
        <v>0</v>
      </c>
      <c r="M17" s="11">
        <f t="shared" si="1"/>
        <v>0</v>
      </c>
      <c r="N17" s="11">
        <f t="shared" si="1"/>
        <v>0</v>
      </c>
      <c r="O17" s="11">
        <f t="shared" si="1"/>
        <v>0</v>
      </c>
      <c r="P17" s="11">
        <f t="shared" si="1"/>
        <v>0</v>
      </c>
      <c r="Q17" s="11">
        <f t="shared" si="1"/>
        <v>0</v>
      </c>
    </row>
    <row r="18" spans="1:17" s="3" customFormat="1" ht="14.45" customHeight="1">
      <c r="B18" s="14"/>
      <c r="C18" s="14"/>
      <c r="D18" s="14"/>
      <c r="E18" s="14"/>
      <c r="F18" s="14"/>
      <c r="G18" s="14"/>
    </row>
    <row r="19" spans="1:17" s="3" customFormat="1">
      <c r="A19" s="4" t="s">
        <v>19</v>
      </c>
      <c r="B19" s="14"/>
      <c r="C19" s="14"/>
      <c r="D19" s="14"/>
      <c r="E19" s="14"/>
      <c r="F19" s="14"/>
      <c r="G19" s="14"/>
    </row>
    <row r="20" spans="1:17" s="3" customFormat="1">
      <c r="A20" s="3" t="s">
        <v>20</v>
      </c>
      <c r="B20" s="14">
        <f t="shared" ref="B20:Q20" si="2">SUM(B8)</f>
        <v>0</v>
      </c>
      <c r="C20" s="14">
        <f t="shared" si="2"/>
        <v>0</v>
      </c>
      <c r="D20" s="14">
        <f t="shared" si="2"/>
        <v>0</v>
      </c>
      <c r="E20" s="14">
        <v>30546</v>
      </c>
      <c r="F20" s="14">
        <f t="shared" si="2"/>
        <v>0</v>
      </c>
      <c r="G20" s="14">
        <f t="shared" si="2"/>
        <v>0</v>
      </c>
      <c r="H20" s="14">
        <f t="shared" si="2"/>
        <v>0</v>
      </c>
      <c r="I20" s="14">
        <f t="shared" si="2"/>
        <v>0</v>
      </c>
      <c r="J20" s="14">
        <f t="shared" si="2"/>
        <v>0</v>
      </c>
      <c r="K20" s="14">
        <f t="shared" si="2"/>
        <v>0</v>
      </c>
      <c r="L20" s="14">
        <f t="shared" si="2"/>
        <v>0</v>
      </c>
      <c r="M20" s="14">
        <f t="shared" si="2"/>
        <v>0</v>
      </c>
      <c r="N20" s="14">
        <f t="shared" si="2"/>
        <v>0</v>
      </c>
      <c r="O20" s="14">
        <f t="shared" si="2"/>
        <v>0</v>
      </c>
      <c r="P20" s="14">
        <f t="shared" si="2"/>
        <v>0</v>
      </c>
      <c r="Q20" s="14">
        <f t="shared" si="2"/>
        <v>0</v>
      </c>
    </row>
    <row r="21" spans="1:17" s="3" customFormat="1">
      <c r="A21" s="3" t="s">
        <v>21</v>
      </c>
      <c r="B21" s="14">
        <v>0</v>
      </c>
      <c r="C21" s="14">
        <v>0</v>
      </c>
      <c r="D21" s="14">
        <v>0</v>
      </c>
      <c r="E21" s="14">
        <v>611</v>
      </c>
      <c r="F21" s="14">
        <v>1680</v>
      </c>
      <c r="G21" s="14">
        <v>2430</v>
      </c>
      <c r="H21" s="19">
        <v>3583</v>
      </c>
    </row>
    <row r="22" spans="1:17" s="33" customFormat="1">
      <c r="A22" s="33" t="s">
        <v>22</v>
      </c>
      <c r="B22" s="34">
        <f>SUM(B9-B17-B20-B21)</f>
        <v>26919</v>
      </c>
      <c r="C22" s="34">
        <f t="shared" ref="C22:G22" si="3">SUM(C9-C17-C20-C21)</f>
        <v>17485</v>
      </c>
      <c r="D22" s="34">
        <f t="shared" si="3"/>
        <v>33697</v>
      </c>
      <c r="E22" s="34">
        <f t="shared" si="3"/>
        <v>36691</v>
      </c>
      <c r="F22" s="34">
        <f t="shared" si="3"/>
        <v>64154</v>
      </c>
      <c r="G22" s="34">
        <f t="shared" si="3"/>
        <v>74006</v>
      </c>
      <c r="H22" s="34">
        <f t="shared" ref="H22:Q22" si="4">SUM(H9-H17-H20-H21)</f>
        <v>165287.03999999998</v>
      </c>
      <c r="I22" s="34">
        <f t="shared" si="4"/>
        <v>185041.75</v>
      </c>
      <c r="J22" s="34">
        <f t="shared" si="4"/>
        <v>0</v>
      </c>
      <c r="K22" s="34">
        <f t="shared" si="4"/>
        <v>0</v>
      </c>
      <c r="L22" s="34">
        <f t="shared" si="4"/>
        <v>0</v>
      </c>
      <c r="M22" s="34">
        <f t="shared" si="4"/>
        <v>0</v>
      </c>
      <c r="N22" s="34">
        <f t="shared" si="4"/>
        <v>0</v>
      </c>
      <c r="O22" s="34">
        <f t="shared" si="4"/>
        <v>0</v>
      </c>
      <c r="P22" s="34">
        <f t="shared" si="4"/>
        <v>0</v>
      </c>
      <c r="Q22" s="34">
        <f t="shared" si="4"/>
        <v>0</v>
      </c>
    </row>
    <row r="23" spans="1:17" s="39" customFormat="1">
      <c r="A23" s="35" t="s">
        <v>23</v>
      </c>
      <c r="B23" s="38">
        <f>SUM(B20:B22)</f>
        <v>26919</v>
      </c>
      <c r="C23" s="38">
        <f t="shared" ref="C23:G23" si="5">SUM(C20:C22)</f>
        <v>17485</v>
      </c>
      <c r="D23" s="38">
        <f t="shared" si="5"/>
        <v>33697</v>
      </c>
      <c r="E23" s="38">
        <f t="shared" si="5"/>
        <v>67848</v>
      </c>
      <c r="F23" s="38">
        <f t="shared" si="5"/>
        <v>65834</v>
      </c>
      <c r="G23" s="38">
        <f t="shared" si="5"/>
        <v>76436</v>
      </c>
      <c r="H23" s="38">
        <f t="shared" ref="H23:Q23" si="6">SUM(H20:H22)</f>
        <v>168870.03999999998</v>
      </c>
      <c r="I23" s="38">
        <f t="shared" si="6"/>
        <v>185041.75</v>
      </c>
      <c r="J23" s="38">
        <f t="shared" si="6"/>
        <v>0</v>
      </c>
      <c r="K23" s="38">
        <f t="shared" si="6"/>
        <v>0</v>
      </c>
      <c r="L23" s="38">
        <f t="shared" si="6"/>
        <v>0</v>
      </c>
      <c r="M23" s="38">
        <f t="shared" si="6"/>
        <v>0</v>
      </c>
      <c r="N23" s="38">
        <f t="shared" si="6"/>
        <v>0</v>
      </c>
      <c r="O23" s="38">
        <f t="shared" si="6"/>
        <v>0</v>
      </c>
      <c r="P23" s="38">
        <f t="shared" si="6"/>
        <v>0</v>
      </c>
      <c r="Q23" s="38">
        <f t="shared" si="6"/>
        <v>0</v>
      </c>
    </row>
    <row r="24" spans="1:17" s="32" customFormat="1" ht="9" customHeight="1">
      <c r="B24" s="31"/>
      <c r="C24" s="31"/>
      <c r="D24" s="31"/>
      <c r="E24" s="31"/>
      <c r="F24" s="31"/>
      <c r="G24" s="31"/>
    </row>
    <row r="25" spans="1:17" s="5" customFormat="1">
      <c r="A25" s="2" t="s">
        <v>24</v>
      </c>
      <c r="B25" s="8">
        <f>SUM(B17+B23)</f>
        <v>74932</v>
      </c>
      <c r="C25" s="8">
        <f t="shared" ref="C25:Q25" si="7">SUM(C17+C23)</f>
        <v>63244</v>
      </c>
      <c r="D25" s="8">
        <f t="shared" si="7"/>
        <v>77639</v>
      </c>
      <c r="E25" s="8">
        <f t="shared" si="7"/>
        <v>92544</v>
      </c>
      <c r="F25" s="8">
        <f t="shared" si="7"/>
        <v>250175</v>
      </c>
      <c r="G25" s="8">
        <f t="shared" si="7"/>
        <v>381444</v>
      </c>
      <c r="H25" s="8">
        <f t="shared" si="7"/>
        <v>495493.04</v>
      </c>
      <c r="I25" s="8">
        <f t="shared" si="7"/>
        <v>589153.9</v>
      </c>
      <c r="J25" s="8">
        <f t="shared" si="7"/>
        <v>0</v>
      </c>
      <c r="K25" s="8">
        <f t="shared" si="7"/>
        <v>0</v>
      </c>
      <c r="L25" s="8">
        <f t="shared" si="7"/>
        <v>0</v>
      </c>
      <c r="M25" s="8">
        <f t="shared" si="7"/>
        <v>0</v>
      </c>
      <c r="N25" s="8">
        <f t="shared" si="7"/>
        <v>0</v>
      </c>
      <c r="O25" s="8">
        <f t="shared" si="7"/>
        <v>0</v>
      </c>
      <c r="P25" s="8">
        <f t="shared" si="7"/>
        <v>0</v>
      </c>
      <c r="Q25" s="8">
        <f t="shared" si="7"/>
        <v>0</v>
      </c>
    </row>
    <row r="26" spans="1:17" s="21" customFormat="1">
      <c r="B26" s="22"/>
      <c r="C26" s="22"/>
      <c r="D26" s="22"/>
      <c r="E26" s="22"/>
      <c r="F26" s="22"/>
      <c r="G26" s="22"/>
    </row>
    <row r="27" spans="1:17" s="21" customFormat="1">
      <c r="B27" s="22"/>
      <c r="C27" s="22"/>
      <c r="D27" s="22"/>
      <c r="E27" s="22"/>
      <c r="F27" s="22"/>
      <c r="G27" s="22"/>
    </row>
    <row r="28" spans="1:17" s="5" customFormat="1" ht="16.350000000000001" customHeight="1">
      <c r="A28" s="6" t="s">
        <v>25</v>
      </c>
      <c r="B28" s="7">
        <f t="shared" ref="B28:Q28" si="8">SUM(B22)</f>
        <v>26919</v>
      </c>
      <c r="C28" s="7">
        <f t="shared" si="8"/>
        <v>17485</v>
      </c>
      <c r="D28" s="7">
        <f t="shared" si="8"/>
        <v>33697</v>
      </c>
      <c r="E28" s="7">
        <f t="shared" si="8"/>
        <v>36691</v>
      </c>
      <c r="F28" s="7">
        <f t="shared" si="8"/>
        <v>64154</v>
      </c>
      <c r="G28" s="7">
        <f t="shared" si="8"/>
        <v>74006</v>
      </c>
      <c r="H28" s="7">
        <f t="shared" si="8"/>
        <v>165287.03999999998</v>
      </c>
      <c r="I28" s="7">
        <f t="shared" si="8"/>
        <v>185041.75</v>
      </c>
      <c r="J28" s="7">
        <f t="shared" si="8"/>
        <v>0</v>
      </c>
      <c r="K28" s="7">
        <f t="shared" si="8"/>
        <v>0</v>
      </c>
      <c r="L28" s="7">
        <f t="shared" si="8"/>
        <v>0</v>
      </c>
      <c r="M28" s="7">
        <f t="shared" si="8"/>
        <v>0</v>
      </c>
      <c r="N28" s="7">
        <f t="shared" si="8"/>
        <v>0</v>
      </c>
      <c r="O28" s="7">
        <f t="shared" si="8"/>
        <v>0</v>
      </c>
      <c r="P28" s="7">
        <f t="shared" si="8"/>
        <v>0</v>
      </c>
      <c r="Q28" s="7">
        <f t="shared" si="8"/>
        <v>0</v>
      </c>
    </row>
    <row r="29" spans="1:17" s="4" customFormat="1" ht="7.35" customHeight="1">
      <c r="B29" s="11"/>
      <c r="C29" s="11"/>
      <c r="D29" s="11"/>
      <c r="E29" s="11"/>
      <c r="F29" s="11"/>
      <c r="G29" s="11"/>
    </row>
    <row r="30" spans="1:17" s="5" customFormat="1" ht="16.350000000000001" customHeight="1">
      <c r="A30" s="9" t="s">
        <v>26</v>
      </c>
      <c r="B30" s="10">
        <f>SUM(B61)</f>
        <v>144825</v>
      </c>
      <c r="C30" s="10">
        <f>SUM(C61)</f>
        <v>155025</v>
      </c>
      <c r="D30" s="10">
        <v>60745</v>
      </c>
      <c r="E30" s="10">
        <v>75692</v>
      </c>
      <c r="F30" s="10">
        <f>SUM(F61)</f>
        <v>246900</v>
      </c>
      <c r="G30" s="10">
        <v>261914</v>
      </c>
      <c r="H30" s="10">
        <v>344361</v>
      </c>
      <c r="I30" s="10">
        <f t="shared" ref="I30:Q30" si="9">SUM(I61)</f>
        <v>506476.26000000007</v>
      </c>
      <c r="J30" s="10">
        <f t="shared" si="9"/>
        <v>0</v>
      </c>
      <c r="K30" s="10">
        <f t="shared" si="9"/>
        <v>0</v>
      </c>
      <c r="L30" s="10">
        <f t="shared" si="9"/>
        <v>0</v>
      </c>
      <c r="M30" s="10">
        <f t="shared" si="9"/>
        <v>0</v>
      </c>
      <c r="N30" s="10">
        <f t="shared" si="9"/>
        <v>0</v>
      </c>
      <c r="O30" s="10">
        <f t="shared" si="9"/>
        <v>0</v>
      </c>
      <c r="P30" s="10">
        <f t="shared" si="9"/>
        <v>0</v>
      </c>
      <c r="Q30" s="10">
        <f t="shared" si="9"/>
        <v>0</v>
      </c>
    </row>
    <row r="31" spans="1:17" s="5" customFormat="1" ht="16.350000000000001" customHeight="1">
      <c r="A31" s="9" t="s">
        <v>27</v>
      </c>
      <c r="B31" s="10">
        <f t="shared" ref="B31:G31" si="10">SUM(B30/12)</f>
        <v>12068.75</v>
      </c>
      <c r="C31" s="10">
        <f t="shared" si="10"/>
        <v>12918.75</v>
      </c>
      <c r="D31" s="10">
        <f t="shared" si="10"/>
        <v>5062.083333333333</v>
      </c>
      <c r="E31" s="10">
        <f t="shared" si="10"/>
        <v>6307.666666666667</v>
      </c>
      <c r="F31" s="10">
        <f t="shared" si="10"/>
        <v>20575</v>
      </c>
      <c r="G31" s="10">
        <f t="shared" si="10"/>
        <v>21826.166666666668</v>
      </c>
      <c r="H31" s="10">
        <f t="shared" ref="H31:Q31" si="11">SUM(H30/12)</f>
        <v>28696.75</v>
      </c>
      <c r="I31" s="10">
        <f t="shared" si="11"/>
        <v>42206.355000000003</v>
      </c>
      <c r="J31" s="10">
        <f t="shared" si="11"/>
        <v>0</v>
      </c>
      <c r="K31" s="10">
        <f t="shared" si="11"/>
        <v>0</v>
      </c>
      <c r="L31" s="10">
        <f t="shared" si="11"/>
        <v>0</v>
      </c>
      <c r="M31" s="10">
        <f t="shared" si="11"/>
        <v>0</v>
      </c>
      <c r="N31" s="10">
        <f t="shared" si="11"/>
        <v>0</v>
      </c>
      <c r="O31" s="10">
        <f t="shared" si="11"/>
        <v>0</v>
      </c>
      <c r="P31" s="10">
        <f t="shared" si="11"/>
        <v>0</v>
      </c>
      <c r="Q31" s="10">
        <f t="shared" si="11"/>
        <v>0</v>
      </c>
    </row>
    <row r="32" spans="1:17" s="4" customFormat="1" ht="7.35" customHeight="1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 s="5" customFormat="1" ht="16.350000000000001" customHeight="1">
      <c r="A33" s="12" t="s">
        <v>28</v>
      </c>
      <c r="B33" s="40">
        <f>SUM(B28/B31)</f>
        <v>2.2304712584153288</v>
      </c>
      <c r="C33" s="40">
        <f t="shared" ref="C33:G33" si="12">SUM(C28/C31)</f>
        <v>1.3534591194968553</v>
      </c>
      <c r="D33" s="40">
        <f t="shared" si="12"/>
        <v>6.6567454111449509</v>
      </c>
      <c r="E33" s="40">
        <f t="shared" si="12"/>
        <v>5.8168894995508111</v>
      </c>
      <c r="F33" s="40">
        <f t="shared" si="12"/>
        <v>3.1180558930741191</v>
      </c>
      <c r="G33" s="40">
        <f t="shared" si="12"/>
        <v>3.3907007643730385</v>
      </c>
      <c r="H33" s="40">
        <f t="shared" ref="H33:Q33" si="13">SUM(H28/H31)</f>
        <v>5.7597825537735101</v>
      </c>
      <c r="I33" s="40">
        <f t="shared" si="13"/>
        <v>4.3842153628286544</v>
      </c>
      <c r="J33" s="40" t="e">
        <f t="shared" si="13"/>
        <v>#DIV/0!</v>
      </c>
      <c r="K33" s="40" t="e">
        <f t="shared" si="13"/>
        <v>#DIV/0!</v>
      </c>
      <c r="L33" s="40" t="e">
        <f t="shared" si="13"/>
        <v>#DIV/0!</v>
      </c>
      <c r="M33" s="40" t="e">
        <f t="shared" si="13"/>
        <v>#DIV/0!</v>
      </c>
      <c r="N33" s="40" t="e">
        <f t="shared" si="13"/>
        <v>#DIV/0!</v>
      </c>
      <c r="O33" s="40" t="e">
        <f t="shared" si="13"/>
        <v>#DIV/0!</v>
      </c>
      <c r="P33" s="40" t="e">
        <f t="shared" si="13"/>
        <v>#DIV/0!</v>
      </c>
      <c r="Q33" s="40" t="e">
        <f t="shared" si="13"/>
        <v>#DIV/0!</v>
      </c>
    </row>
    <row r="34" spans="1:17" s="5" customFormat="1">
      <c r="B34" s="13"/>
      <c r="C34" s="13"/>
      <c r="D34" s="13"/>
      <c r="E34" s="13"/>
      <c r="F34" s="13"/>
      <c r="G34" s="13"/>
      <c r="H34" s="4"/>
    </row>
    <row r="35" spans="1:17">
      <c r="B35" s="14"/>
      <c r="C35" s="14"/>
      <c r="D35" s="14"/>
      <c r="E35" s="14"/>
      <c r="F35" s="14"/>
      <c r="G35" s="14"/>
      <c r="J35" s="5"/>
      <c r="K35" s="5"/>
      <c r="L35" s="5"/>
      <c r="O35" s="5"/>
    </row>
    <row r="36" spans="1:17" ht="15.6">
      <c r="A36" s="15" t="s">
        <v>29</v>
      </c>
      <c r="B36" s="25">
        <v>2012</v>
      </c>
      <c r="C36" s="25">
        <v>2013</v>
      </c>
      <c r="D36" s="25">
        <v>2014</v>
      </c>
      <c r="E36" s="25">
        <v>2015</v>
      </c>
      <c r="F36" s="25">
        <v>2016</v>
      </c>
      <c r="G36" s="25">
        <v>2017</v>
      </c>
      <c r="H36" s="25">
        <v>2018</v>
      </c>
      <c r="I36" s="25">
        <v>2019</v>
      </c>
      <c r="J36" s="25">
        <v>2020</v>
      </c>
      <c r="K36" s="25">
        <v>2021</v>
      </c>
      <c r="L36" s="25">
        <v>2022</v>
      </c>
      <c r="M36" s="25">
        <v>2023</v>
      </c>
      <c r="N36" s="25">
        <v>2024</v>
      </c>
      <c r="O36" s="25">
        <v>2025</v>
      </c>
      <c r="P36" s="25">
        <v>2026</v>
      </c>
      <c r="Q36" s="25">
        <v>2027</v>
      </c>
    </row>
    <row r="37" spans="1:17">
      <c r="A37" s="5" t="s">
        <v>30</v>
      </c>
      <c r="B37" s="72" t="s">
        <v>2</v>
      </c>
      <c r="C37" s="72" t="s">
        <v>3</v>
      </c>
      <c r="D37" s="72" t="s">
        <v>2</v>
      </c>
      <c r="E37" s="72" t="s">
        <v>2</v>
      </c>
      <c r="F37" s="72" t="s">
        <v>3</v>
      </c>
      <c r="G37" s="72" t="s">
        <v>3</v>
      </c>
      <c r="H37" s="73" t="s">
        <v>3</v>
      </c>
      <c r="I37" s="72" t="s">
        <v>4</v>
      </c>
      <c r="J37" s="5"/>
      <c r="M37" s="5"/>
    </row>
    <row r="38" spans="1:17">
      <c r="A38" t="s">
        <v>31</v>
      </c>
      <c r="B38" s="14"/>
      <c r="C38" s="14"/>
      <c r="D38" s="14"/>
      <c r="E38" s="14"/>
      <c r="F38" s="14"/>
      <c r="G38" s="14"/>
      <c r="I38" s="76"/>
      <c r="J38" s="5"/>
      <c r="M38" s="5"/>
    </row>
    <row r="39" spans="1:17">
      <c r="A39" t="s">
        <v>32</v>
      </c>
      <c r="B39" s="14">
        <v>68503</v>
      </c>
      <c r="C39" s="14">
        <v>68003</v>
      </c>
      <c r="D39" s="14">
        <v>58003</v>
      </c>
      <c r="E39" s="14">
        <v>58003</v>
      </c>
      <c r="F39" s="14">
        <v>104398</v>
      </c>
      <c r="G39" s="14">
        <v>374983</v>
      </c>
      <c r="H39" s="19">
        <v>474559</v>
      </c>
      <c r="I39" s="14">
        <f>346725.32+60000</f>
        <v>406725.32</v>
      </c>
      <c r="J39" s="5"/>
    </row>
    <row r="40" spans="1:17">
      <c r="A40" t="s">
        <v>33</v>
      </c>
      <c r="B40" s="14">
        <v>0</v>
      </c>
      <c r="C40" s="14">
        <v>0</v>
      </c>
      <c r="D40" s="14">
        <v>0</v>
      </c>
      <c r="E40" s="14">
        <v>5000</v>
      </c>
      <c r="F40" s="14">
        <v>178436</v>
      </c>
      <c r="G40" s="14">
        <v>0</v>
      </c>
      <c r="H40" s="19">
        <v>26982</v>
      </c>
      <c r="I40" s="14">
        <f>16826.23+33337.73</f>
        <v>50163.960000000006</v>
      </c>
      <c r="J40" s="5"/>
    </row>
    <row r="41" spans="1:17">
      <c r="A41" t="s">
        <v>34</v>
      </c>
      <c r="B41" s="14">
        <v>0</v>
      </c>
      <c r="C41" s="14">
        <v>0</v>
      </c>
      <c r="D41" s="14">
        <v>0</v>
      </c>
      <c r="E41" s="14"/>
      <c r="F41" s="14">
        <v>0</v>
      </c>
      <c r="G41" s="14">
        <v>0</v>
      </c>
      <c r="H41" s="19">
        <v>0</v>
      </c>
      <c r="I41" s="14">
        <v>103634.61</v>
      </c>
      <c r="M41" s="5"/>
    </row>
    <row r="42" spans="1:17" s="41" customFormat="1">
      <c r="A42" s="41" t="s">
        <v>35</v>
      </c>
      <c r="B42" s="27">
        <v>59322</v>
      </c>
      <c r="C42" s="27">
        <v>47688</v>
      </c>
      <c r="D42" s="27">
        <v>58691</v>
      </c>
      <c r="E42" s="27">
        <v>194616</v>
      </c>
      <c r="F42" s="27">
        <v>172384</v>
      </c>
      <c r="G42" s="27">
        <v>219962</v>
      </c>
      <c r="H42" s="29">
        <v>274355</v>
      </c>
      <c r="I42" s="85">
        <v>311992.24</v>
      </c>
      <c r="J42" s="42"/>
    </row>
    <row r="43" spans="1:17" s="5" customFormat="1">
      <c r="A43" s="5" t="s">
        <v>36</v>
      </c>
      <c r="B43" s="11">
        <f t="shared" ref="B43:Q43" si="14">SUM(B39:B42)</f>
        <v>127825</v>
      </c>
      <c r="C43" s="11">
        <f t="shared" si="14"/>
        <v>115691</v>
      </c>
      <c r="D43" s="11">
        <f t="shared" si="14"/>
        <v>116694</v>
      </c>
      <c r="E43" s="11">
        <f t="shared" si="14"/>
        <v>257619</v>
      </c>
      <c r="F43" s="11">
        <f t="shared" si="14"/>
        <v>455218</v>
      </c>
      <c r="G43" s="11">
        <f t="shared" si="14"/>
        <v>594945</v>
      </c>
      <c r="H43" s="11">
        <f t="shared" si="14"/>
        <v>775896</v>
      </c>
      <c r="I43" s="11">
        <f t="shared" si="14"/>
        <v>872516.13</v>
      </c>
      <c r="J43" s="11">
        <f t="shared" si="14"/>
        <v>0</v>
      </c>
      <c r="K43" s="11">
        <f t="shared" si="14"/>
        <v>0</v>
      </c>
      <c r="L43" s="11">
        <f t="shared" si="14"/>
        <v>0</v>
      </c>
      <c r="M43" s="11">
        <f t="shared" si="14"/>
        <v>0</v>
      </c>
      <c r="N43" s="11">
        <f t="shared" si="14"/>
        <v>0</v>
      </c>
      <c r="O43" s="11">
        <f t="shared" si="14"/>
        <v>0</v>
      </c>
      <c r="P43" s="11">
        <f t="shared" si="14"/>
        <v>0</v>
      </c>
      <c r="Q43" s="11">
        <f t="shared" si="14"/>
        <v>0</v>
      </c>
    </row>
    <row r="44" spans="1:17" ht="9" customHeight="1">
      <c r="B44" s="14"/>
      <c r="C44" s="14"/>
      <c r="D44" s="14"/>
      <c r="E44" s="14"/>
      <c r="F44" s="14"/>
      <c r="G44" s="14"/>
    </row>
    <row r="45" spans="1:17" s="3" customFormat="1">
      <c r="A45" s="4" t="s">
        <v>37</v>
      </c>
      <c r="B45" s="11">
        <v>14266</v>
      </c>
      <c r="C45" s="11">
        <v>78939</v>
      </c>
      <c r="D45" s="11">
        <v>22405</v>
      </c>
      <c r="E45" s="11">
        <v>11964</v>
      </c>
      <c r="F45" s="11">
        <v>15839</v>
      </c>
      <c r="G45" s="11">
        <v>28438</v>
      </c>
      <c r="H45" s="30">
        <v>31576</v>
      </c>
      <c r="I45" s="30">
        <f>23674.46+28171.98+49076.86</f>
        <v>100923.3</v>
      </c>
      <c r="J45" s="4"/>
    </row>
    <row r="46" spans="1:17" s="3" customFormat="1" ht="9" customHeight="1">
      <c r="B46" s="14"/>
      <c r="C46" s="14"/>
      <c r="D46" s="14"/>
      <c r="E46" s="14"/>
      <c r="F46" s="14"/>
      <c r="G46" s="14"/>
    </row>
    <row r="47" spans="1:17">
      <c r="A47" t="s">
        <v>38</v>
      </c>
      <c r="B47" s="75">
        <v>19</v>
      </c>
      <c r="C47" s="14">
        <v>6</v>
      </c>
      <c r="D47" s="14">
        <v>3</v>
      </c>
      <c r="E47" s="14">
        <v>3</v>
      </c>
      <c r="F47" s="14">
        <v>4</v>
      </c>
      <c r="G47" s="14">
        <v>5</v>
      </c>
      <c r="H47" s="19">
        <v>7</v>
      </c>
      <c r="I47" s="14">
        <v>9.82</v>
      </c>
    </row>
    <row r="48" spans="1:17" s="41" customFormat="1">
      <c r="A48" s="41" t="s">
        <v>39</v>
      </c>
      <c r="B48" s="27">
        <v>4552</v>
      </c>
      <c r="C48" s="27">
        <v>1966</v>
      </c>
      <c r="D48" s="27">
        <v>1110</v>
      </c>
      <c r="E48" s="27">
        <v>338</v>
      </c>
      <c r="F48" s="27">
        <v>367</v>
      </c>
      <c r="G48" s="27">
        <v>1589</v>
      </c>
      <c r="H48" s="71">
        <v>4110</v>
      </c>
      <c r="I48" s="41">
        <f>1575.07-9.82</f>
        <v>1565.25</v>
      </c>
    </row>
    <row r="49" spans="1:17" s="5" customFormat="1">
      <c r="A49" s="5" t="s">
        <v>40</v>
      </c>
      <c r="B49" s="11">
        <f t="shared" ref="B49:Q49" si="15">SUM(B47:B48)</f>
        <v>4571</v>
      </c>
      <c r="C49" s="11">
        <f t="shared" si="15"/>
        <v>1972</v>
      </c>
      <c r="D49" s="11">
        <f t="shared" si="15"/>
        <v>1113</v>
      </c>
      <c r="E49" s="11">
        <f t="shared" si="15"/>
        <v>341</v>
      </c>
      <c r="F49" s="11">
        <f t="shared" si="15"/>
        <v>371</v>
      </c>
      <c r="G49" s="11">
        <f t="shared" si="15"/>
        <v>1594</v>
      </c>
      <c r="H49" s="11">
        <f t="shared" si="15"/>
        <v>4117</v>
      </c>
      <c r="I49" s="11">
        <f t="shared" si="15"/>
        <v>1575.07</v>
      </c>
      <c r="J49" s="11">
        <f t="shared" si="15"/>
        <v>0</v>
      </c>
      <c r="K49" s="11">
        <f t="shared" si="15"/>
        <v>0</v>
      </c>
      <c r="L49" s="11">
        <f t="shared" si="15"/>
        <v>0</v>
      </c>
      <c r="M49" s="11">
        <f t="shared" si="15"/>
        <v>0</v>
      </c>
      <c r="N49" s="11">
        <f t="shared" si="15"/>
        <v>0</v>
      </c>
      <c r="O49" s="11">
        <f t="shared" si="15"/>
        <v>0</v>
      </c>
      <c r="P49" s="11">
        <f t="shared" si="15"/>
        <v>0</v>
      </c>
      <c r="Q49" s="11">
        <f t="shared" si="15"/>
        <v>0</v>
      </c>
    </row>
    <row r="50" spans="1:17" s="43" customFormat="1" ht="9" customHeight="1" thickBot="1">
      <c r="B50" s="44"/>
      <c r="C50" s="44"/>
      <c r="D50" s="44"/>
      <c r="E50" s="44"/>
      <c r="F50" s="44"/>
      <c r="G50" s="44"/>
      <c r="H50" s="32"/>
    </row>
    <row r="51" spans="1:17" s="4" customFormat="1" ht="15" thickTop="1">
      <c r="A51" s="4" t="s">
        <v>41</v>
      </c>
      <c r="B51" s="11">
        <f>SUM(B43+B45+B49)</f>
        <v>146662</v>
      </c>
      <c r="C51" s="11">
        <f t="shared" ref="C51:Q51" si="16">SUM(C43+C45+C49)</f>
        <v>196602</v>
      </c>
      <c r="D51" s="11">
        <f t="shared" si="16"/>
        <v>140212</v>
      </c>
      <c r="E51" s="11">
        <f t="shared" si="16"/>
        <v>269924</v>
      </c>
      <c r="F51" s="11">
        <f t="shared" si="16"/>
        <v>471428</v>
      </c>
      <c r="G51" s="11">
        <f t="shared" si="16"/>
        <v>624977</v>
      </c>
      <c r="H51" s="11">
        <f t="shared" si="16"/>
        <v>811589</v>
      </c>
      <c r="I51" s="11">
        <f t="shared" si="16"/>
        <v>975014.5</v>
      </c>
      <c r="J51" s="11">
        <f t="shared" si="16"/>
        <v>0</v>
      </c>
      <c r="K51" s="11">
        <f t="shared" si="16"/>
        <v>0</v>
      </c>
      <c r="L51" s="11">
        <f t="shared" si="16"/>
        <v>0</v>
      </c>
      <c r="M51" s="11">
        <f t="shared" si="16"/>
        <v>0</v>
      </c>
      <c r="N51" s="11">
        <f t="shared" si="16"/>
        <v>0</v>
      </c>
      <c r="O51" s="11">
        <f t="shared" si="16"/>
        <v>0</v>
      </c>
      <c r="P51" s="11">
        <f t="shared" si="16"/>
        <v>0</v>
      </c>
      <c r="Q51" s="11">
        <f t="shared" si="16"/>
        <v>0</v>
      </c>
    </row>
    <row r="52" spans="1:17" s="16" customFormat="1">
      <c r="B52" s="17"/>
      <c r="C52" s="17"/>
      <c r="D52" s="17"/>
      <c r="E52" s="17"/>
      <c r="F52" s="17"/>
      <c r="G52" s="17"/>
      <c r="H52" s="23"/>
    </row>
    <row r="53" spans="1:17">
      <c r="A53" s="5" t="s">
        <v>42</v>
      </c>
      <c r="B53" s="14"/>
      <c r="C53" s="14"/>
      <c r="D53" s="14"/>
      <c r="E53" s="14"/>
      <c r="F53" s="14"/>
      <c r="G53" s="14"/>
      <c r="H53" s="77"/>
    </row>
    <row r="54" spans="1:17">
      <c r="A54" t="s">
        <v>43</v>
      </c>
      <c r="B54" s="14"/>
      <c r="C54" s="14"/>
      <c r="D54" s="14"/>
      <c r="E54" s="14"/>
      <c r="F54" s="14"/>
      <c r="G54" s="14"/>
    </row>
    <row r="55" spans="1:17">
      <c r="A55" t="s">
        <v>44</v>
      </c>
      <c r="B55" s="14">
        <v>104107</v>
      </c>
      <c r="C55" s="14">
        <v>105889</v>
      </c>
      <c r="D55" s="14">
        <v>31864</v>
      </c>
      <c r="E55" s="14">
        <v>60004</v>
      </c>
      <c r="F55" s="14">
        <v>135631</v>
      </c>
      <c r="G55" s="14">
        <v>164994</v>
      </c>
      <c r="H55" s="19">
        <v>240534</v>
      </c>
      <c r="I55" s="14">
        <v>331887.77</v>
      </c>
    </row>
    <row r="56" spans="1:17">
      <c r="A56" t="s">
        <v>45</v>
      </c>
      <c r="B56" s="14">
        <v>37946</v>
      </c>
      <c r="C56" s="14">
        <v>47189</v>
      </c>
      <c r="D56" s="14">
        <v>28733</v>
      </c>
      <c r="E56" s="14">
        <v>15036</v>
      </c>
      <c r="F56" s="14">
        <v>30944</v>
      </c>
      <c r="G56" s="14">
        <v>60922</v>
      </c>
      <c r="H56" s="19">
        <v>71612</v>
      </c>
      <c r="I56" s="14">
        <f>13967.74+34731.05+2356.15+6675+3228.35+11797.64+11929.01+4088.91+4772+279.99+4392.46+1201.75+6983.91+2981+3543.57+12055.63</f>
        <v>124984.16000000002</v>
      </c>
    </row>
    <row r="57" spans="1:17">
      <c r="A57" t="s">
        <v>46</v>
      </c>
      <c r="B57" s="14">
        <v>2772</v>
      </c>
      <c r="C57" s="14">
        <v>1947</v>
      </c>
      <c r="D57" s="14">
        <v>147</v>
      </c>
      <c r="E57" s="14">
        <v>651</v>
      </c>
      <c r="F57" s="14">
        <v>9105</v>
      </c>
      <c r="G57" s="14">
        <v>12869</v>
      </c>
      <c r="H57" s="19">
        <v>14021</v>
      </c>
      <c r="I57" s="14">
        <v>25281.33</v>
      </c>
    </row>
    <row r="58" spans="1:17">
      <c r="A58" s="37" t="s">
        <v>47</v>
      </c>
      <c r="B58" s="14">
        <v>0</v>
      </c>
      <c r="C58" s="14">
        <v>0</v>
      </c>
      <c r="D58" s="74">
        <v>0</v>
      </c>
      <c r="E58" s="74">
        <v>0</v>
      </c>
      <c r="F58" s="14">
        <v>66504</v>
      </c>
      <c r="G58" s="14">
        <v>0</v>
      </c>
      <c r="H58" s="19">
        <v>18194</v>
      </c>
      <c r="I58" s="14">
        <v>24323</v>
      </c>
    </row>
    <row r="59" spans="1:17">
      <c r="A59" s="36" t="s">
        <v>48</v>
      </c>
      <c r="B59" s="14">
        <v>0</v>
      </c>
      <c r="C59" s="14">
        <v>0</v>
      </c>
      <c r="D59" s="74">
        <v>0</v>
      </c>
      <c r="E59" s="74">
        <v>0</v>
      </c>
      <c r="F59" s="14">
        <v>4315</v>
      </c>
      <c r="G59" s="14">
        <v>22685</v>
      </c>
      <c r="H59" s="19">
        <v>0</v>
      </c>
      <c r="I59" s="14">
        <v>0</v>
      </c>
    </row>
    <row r="60" spans="1:17" s="41" customFormat="1">
      <c r="A60" s="41" t="s">
        <v>49</v>
      </c>
      <c r="B60" s="27">
        <v>0</v>
      </c>
      <c r="C60" s="27">
        <v>0</v>
      </c>
      <c r="D60" s="27">
        <v>0</v>
      </c>
      <c r="E60" s="27">
        <v>0</v>
      </c>
      <c r="F60" s="27">
        <v>401</v>
      </c>
      <c r="G60" s="27">
        <v>444</v>
      </c>
      <c r="H60" s="71">
        <v>0</v>
      </c>
      <c r="I60" s="41">
        <v>0</v>
      </c>
    </row>
    <row r="61" spans="1:17" s="5" customFormat="1">
      <c r="A61" s="9" t="s">
        <v>50</v>
      </c>
      <c r="B61" s="10">
        <f>SUM(B55:B60)</f>
        <v>144825</v>
      </c>
      <c r="C61" s="10">
        <f t="shared" ref="C61:Q61" si="17">SUM(C55:C60)</f>
        <v>155025</v>
      </c>
      <c r="D61" s="10">
        <f t="shared" si="17"/>
        <v>60744</v>
      </c>
      <c r="E61" s="10">
        <f t="shared" si="17"/>
        <v>75691</v>
      </c>
      <c r="F61" s="10">
        <f t="shared" si="17"/>
        <v>246900</v>
      </c>
      <c r="G61" s="10">
        <f t="shared" si="17"/>
        <v>261914</v>
      </c>
      <c r="H61" s="10">
        <f t="shared" si="17"/>
        <v>344361</v>
      </c>
      <c r="I61" s="10">
        <f t="shared" si="17"/>
        <v>506476.26000000007</v>
      </c>
      <c r="J61" s="10">
        <f t="shared" si="17"/>
        <v>0</v>
      </c>
      <c r="K61" s="10">
        <f t="shared" si="17"/>
        <v>0</v>
      </c>
      <c r="L61" s="10">
        <f t="shared" si="17"/>
        <v>0</v>
      </c>
      <c r="M61" s="10">
        <f t="shared" si="17"/>
        <v>0</v>
      </c>
      <c r="N61" s="10">
        <f t="shared" si="17"/>
        <v>0</v>
      </c>
      <c r="O61" s="10">
        <f t="shared" si="17"/>
        <v>0</v>
      </c>
      <c r="P61" s="10">
        <f t="shared" si="17"/>
        <v>0</v>
      </c>
      <c r="Q61" s="10">
        <f t="shared" si="17"/>
        <v>0</v>
      </c>
    </row>
    <row r="62" spans="1:17" s="3" customFormat="1" ht="9" customHeight="1">
      <c r="B62" s="14"/>
      <c r="C62" s="14"/>
      <c r="D62" s="14"/>
      <c r="E62" s="14"/>
      <c r="F62" s="14"/>
      <c r="G62" s="14"/>
    </row>
    <row r="63" spans="1:17">
      <c r="A63" t="s">
        <v>51</v>
      </c>
      <c r="B63" s="14"/>
      <c r="C63" s="14"/>
      <c r="D63" s="14"/>
      <c r="E63" s="14"/>
      <c r="F63" s="14"/>
      <c r="G63" s="14"/>
    </row>
    <row r="64" spans="1:17">
      <c r="A64" t="s">
        <v>52</v>
      </c>
      <c r="B64" s="14">
        <v>12246</v>
      </c>
      <c r="C64" s="14">
        <v>53931</v>
      </c>
      <c r="D64" s="14">
        <v>22717</v>
      </c>
      <c r="E64" s="14">
        <v>4614</v>
      </c>
      <c r="F64" s="14">
        <v>7812</v>
      </c>
      <c r="G64" s="14">
        <v>20162</v>
      </c>
      <c r="H64" s="19">
        <v>18751</v>
      </c>
      <c r="I64" s="14">
        <v>8903</v>
      </c>
    </row>
    <row r="65" spans="1:17">
      <c r="A65" t="s">
        <v>32</v>
      </c>
      <c r="B65" s="14">
        <v>0</v>
      </c>
      <c r="C65" s="14">
        <v>0</v>
      </c>
      <c r="D65" s="14">
        <v>0</v>
      </c>
      <c r="E65" s="14">
        <v>0</v>
      </c>
      <c r="F65" s="14">
        <v>128909</v>
      </c>
      <c r="G65" s="14">
        <v>246224</v>
      </c>
      <c r="H65" s="19">
        <v>291977</v>
      </c>
      <c r="I65" s="14">
        <f>21224.44+233976.63</f>
        <v>255201.07</v>
      </c>
    </row>
    <row r="66" spans="1:17">
      <c r="A66" t="s">
        <v>34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9">
        <v>0</v>
      </c>
      <c r="I66" s="14">
        <v>21500</v>
      </c>
    </row>
    <row r="67" spans="1:17" s="41" customFormat="1">
      <c r="A67" s="41" t="s">
        <v>53</v>
      </c>
      <c r="B67" s="27">
        <v>14793</v>
      </c>
      <c r="C67" s="27">
        <v>5630</v>
      </c>
      <c r="D67" s="27">
        <v>31989</v>
      </c>
      <c r="E67" s="27">
        <v>155468</v>
      </c>
      <c r="F67" s="27">
        <v>84419</v>
      </c>
      <c r="G67" s="27">
        <v>86075</v>
      </c>
      <c r="H67" s="71">
        <v>64066</v>
      </c>
      <c r="I67" s="71">
        <f>2905.7+286+6710+46446.03+12985.04+6397.95+2147.97+33288.73+56877.99</f>
        <v>168045.40999999997</v>
      </c>
    </row>
    <row r="68" spans="1:17" s="5" customFormat="1" ht="13.7" customHeight="1">
      <c r="A68" s="5" t="s">
        <v>54</v>
      </c>
      <c r="B68" s="11">
        <f t="shared" ref="B68:Q68" si="18">SUM(B64:B67)</f>
        <v>27039</v>
      </c>
      <c r="C68" s="11">
        <f t="shared" si="18"/>
        <v>59561</v>
      </c>
      <c r="D68" s="11">
        <f t="shared" si="18"/>
        <v>54706</v>
      </c>
      <c r="E68" s="11">
        <f t="shared" si="18"/>
        <v>160082</v>
      </c>
      <c r="F68" s="11">
        <f t="shared" si="18"/>
        <v>221140</v>
      </c>
      <c r="G68" s="11">
        <f t="shared" si="18"/>
        <v>352461</v>
      </c>
      <c r="H68" s="11">
        <f t="shared" si="18"/>
        <v>374794</v>
      </c>
      <c r="I68" s="11">
        <f t="shared" si="18"/>
        <v>453649.48</v>
      </c>
      <c r="J68" s="11">
        <f t="shared" si="18"/>
        <v>0</v>
      </c>
      <c r="K68" s="11">
        <f t="shared" si="18"/>
        <v>0</v>
      </c>
      <c r="L68" s="11">
        <f t="shared" si="18"/>
        <v>0</v>
      </c>
      <c r="M68" s="11">
        <f t="shared" si="18"/>
        <v>0</v>
      </c>
      <c r="N68" s="11">
        <f t="shared" si="18"/>
        <v>0</v>
      </c>
      <c r="O68" s="11">
        <f t="shared" si="18"/>
        <v>0</v>
      </c>
      <c r="P68" s="11">
        <f t="shared" si="18"/>
        <v>0</v>
      </c>
      <c r="Q68" s="11">
        <f t="shared" si="18"/>
        <v>0</v>
      </c>
    </row>
    <row r="69" spans="1:17" s="43" customFormat="1" ht="9" customHeight="1" thickBot="1">
      <c r="B69" s="45"/>
      <c r="C69" s="45"/>
      <c r="D69" s="45"/>
      <c r="E69" s="45"/>
      <c r="F69" s="45"/>
      <c r="G69" s="45"/>
      <c r="H69" s="32"/>
    </row>
    <row r="70" spans="1:17" s="4" customFormat="1" ht="15" thickTop="1">
      <c r="A70" s="4" t="s">
        <v>55</v>
      </c>
      <c r="B70" s="30">
        <f t="shared" ref="B70:Q70" si="19">SUM(B61+B68)</f>
        <v>171864</v>
      </c>
      <c r="C70" s="30">
        <f t="shared" si="19"/>
        <v>214586</v>
      </c>
      <c r="D70" s="30">
        <f t="shared" si="19"/>
        <v>115450</v>
      </c>
      <c r="E70" s="30">
        <f t="shared" si="19"/>
        <v>235773</v>
      </c>
      <c r="F70" s="30">
        <f t="shared" si="19"/>
        <v>468040</v>
      </c>
      <c r="G70" s="30">
        <f t="shared" si="19"/>
        <v>614375</v>
      </c>
      <c r="H70" s="30">
        <f t="shared" si="19"/>
        <v>719155</v>
      </c>
      <c r="I70" s="30">
        <f t="shared" si="19"/>
        <v>960125.74</v>
      </c>
      <c r="J70" s="30">
        <f t="shared" si="19"/>
        <v>0</v>
      </c>
      <c r="K70" s="30">
        <f t="shared" si="19"/>
        <v>0</v>
      </c>
      <c r="L70" s="30">
        <f t="shared" si="19"/>
        <v>0</v>
      </c>
      <c r="M70" s="30">
        <f t="shared" si="19"/>
        <v>0</v>
      </c>
      <c r="N70" s="30">
        <f t="shared" si="19"/>
        <v>0</v>
      </c>
      <c r="O70" s="30">
        <f t="shared" si="19"/>
        <v>0</v>
      </c>
      <c r="P70" s="30">
        <f t="shared" si="19"/>
        <v>0</v>
      </c>
      <c r="Q70" s="30">
        <f t="shared" si="19"/>
        <v>0</v>
      </c>
    </row>
    <row r="71" spans="1:17" s="3" customFormat="1">
      <c r="B71" s="19"/>
      <c r="C71" s="19"/>
      <c r="D71" s="19"/>
      <c r="E71" s="19"/>
      <c r="F71" s="19"/>
      <c r="G71" s="19"/>
    </row>
    <row r="72" spans="1:17" s="46" customFormat="1">
      <c r="A72" s="46" t="s">
        <v>56</v>
      </c>
      <c r="B72" s="47">
        <f t="shared" ref="B72:Q72" si="20">SUM(B51-B70)</f>
        <v>-25202</v>
      </c>
      <c r="C72" s="47">
        <f t="shared" si="20"/>
        <v>-17984</v>
      </c>
      <c r="D72" s="47">
        <f t="shared" si="20"/>
        <v>24762</v>
      </c>
      <c r="E72" s="47">
        <f t="shared" si="20"/>
        <v>34151</v>
      </c>
      <c r="F72" s="47">
        <f t="shared" si="20"/>
        <v>3388</v>
      </c>
      <c r="G72" s="47">
        <f t="shared" si="20"/>
        <v>10602</v>
      </c>
      <c r="H72" s="47">
        <f t="shared" si="20"/>
        <v>92434</v>
      </c>
      <c r="I72" s="47">
        <f t="shared" si="20"/>
        <v>14888.760000000009</v>
      </c>
      <c r="J72" s="47">
        <f t="shared" si="20"/>
        <v>0</v>
      </c>
      <c r="K72" s="47">
        <f t="shared" si="20"/>
        <v>0</v>
      </c>
      <c r="L72" s="47">
        <f t="shared" si="20"/>
        <v>0</v>
      </c>
      <c r="M72" s="47">
        <f t="shared" si="20"/>
        <v>0</v>
      </c>
      <c r="N72" s="47">
        <f t="shared" si="20"/>
        <v>0</v>
      </c>
      <c r="O72" s="47">
        <f t="shared" si="20"/>
        <v>0</v>
      </c>
      <c r="P72" s="47">
        <f t="shared" si="20"/>
        <v>0</v>
      </c>
      <c r="Q72" s="47">
        <f t="shared" si="20"/>
        <v>0</v>
      </c>
    </row>
    <row r="73" spans="1:17" hidden="1">
      <c r="A73" s="5" t="s">
        <v>57</v>
      </c>
      <c r="B73" s="18">
        <v>66165</v>
      </c>
      <c r="C73" s="18">
        <f>SUM(B74)</f>
        <v>40963</v>
      </c>
      <c r="D73" s="18">
        <f>SUM(C74)</f>
        <v>22979</v>
      </c>
      <c r="E73" s="18">
        <f>SUM(D74)</f>
        <v>47741</v>
      </c>
      <c r="F73" s="18">
        <f>SUM(E74)</f>
        <v>81892</v>
      </c>
      <c r="G73" s="18">
        <f>SUM(F74)</f>
        <v>85280</v>
      </c>
    </row>
    <row r="74" spans="1:17" s="5" customFormat="1" hidden="1">
      <c r="A74" s="5" t="s">
        <v>58</v>
      </c>
      <c r="B74" s="20">
        <f t="shared" ref="B74:G74" si="21">SUM(B72:B73)</f>
        <v>40963</v>
      </c>
      <c r="C74" s="20">
        <f t="shared" si="21"/>
        <v>22979</v>
      </c>
      <c r="D74" s="20">
        <f t="shared" si="21"/>
        <v>47741</v>
      </c>
      <c r="E74" s="20">
        <f t="shared" si="21"/>
        <v>81892</v>
      </c>
      <c r="F74" s="20">
        <f t="shared" si="21"/>
        <v>85280</v>
      </c>
      <c r="G74" s="20">
        <f t="shared" si="21"/>
        <v>95882</v>
      </c>
      <c r="H74" s="4"/>
    </row>
    <row r="75" spans="1:17" s="5" customFormat="1">
      <c r="B75" s="20"/>
      <c r="C75" s="20"/>
      <c r="D75" s="20"/>
      <c r="E75" s="20"/>
      <c r="F75" s="20"/>
      <c r="G75" s="20"/>
      <c r="H75" s="4"/>
    </row>
    <row r="76" spans="1:17" s="5" customFormat="1" hidden="1">
      <c r="B76" s="20">
        <f t="shared" ref="B76:G76" si="22">SUM(B23)</f>
        <v>26919</v>
      </c>
      <c r="C76" s="20">
        <f t="shared" si="22"/>
        <v>17485</v>
      </c>
      <c r="D76" s="20">
        <f t="shared" si="22"/>
        <v>33697</v>
      </c>
      <c r="E76" s="20">
        <f t="shared" si="22"/>
        <v>67848</v>
      </c>
      <c r="F76" s="20">
        <f t="shared" si="22"/>
        <v>65834</v>
      </c>
      <c r="G76" s="20">
        <f t="shared" si="22"/>
        <v>76436</v>
      </c>
      <c r="H76" s="4"/>
    </row>
  </sheetData>
  <pageMargins left="0.7" right="0.7" top="0.75" bottom="0.75" header="0.3" footer="0.3"/>
  <pageSetup scale="96" fitToHeight="0" orientation="landscape" r:id="rId1"/>
  <rowBreaks count="1" manualBreakCount="1">
    <brk id="3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"/>
  <sheetViews>
    <sheetView tabSelected="1" view="pageLayout" topLeftCell="A24" zoomScaleNormal="100" workbookViewId="0">
      <selection activeCell="O15" sqref="O15"/>
    </sheetView>
  </sheetViews>
  <sheetFormatPr defaultColWidth="9" defaultRowHeight="14.45"/>
  <cols>
    <col min="1" max="16384" width="9" style="1"/>
  </cols>
  <sheetData>
    <row r="1" ht="18.2" customHeight="1"/>
  </sheetData>
  <pageMargins left="0.7" right="0.7" top="0.84905660377358494" bottom="0.75" header="0.3" footer="0.3"/>
  <pageSetup orientation="landscape" r:id="rId1"/>
  <headerFooter>
    <oddHeader>&amp;C&amp;"-,Bold"&amp;14Annual Summary  &amp;"-,Regular"&amp;11
&amp;14Financial Statement Information</oddHeader>
    <oddFooter>&amp;C&amp;16North St. Louis Soil &amp; Water Conservation District
&amp;8Note: After shutting down in March 2014, the District re-opened in February 2015
Printed 3/10/2020 using preliminary 2019 data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Q59"/>
  <sheetViews>
    <sheetView workbookViewId="0">
      <selection activeCell="I58" sqref="I58"/>
    </sheetView>
  </sheetViews>
  <sheetFormatPr defaultRowHeight="14.45"/>
  <cols>
    <col min="1" max="1" width="42.85546875" customWidth="1"/>
    <col min="2" max="8" width="12.5703125" style="52" customWidth="1"/>
    <col min="9" max="10" width="9.42578125" style="52" bestFit="1" customWidth="1"/>
    <col min="11" max="11" width="11.140625" style="52" bestFit="1" customWidth="1"/>
    <col min="12" max="17" width="9.140625" style="52" bestFit="1" customWidth="1"/>
  </cols>
  <sheetData>
    <row r="1" spans="1:17" ht="15.6">
      <c r="A1" s="78" t="s">
        <v>59</v>
      </c>
    </row>
    <row r="2" spans="1:17" s="53" customFormat="1">
      <c r="B2" s="54">
        <v>2012</v>
      </c>
      <c r="C2" s="54">
        <v>2013</v>
      </c>
      <c r="D2" s="54">
        <v>2014</v>
      </c>
      <c r="E2" s="54">
        <v>2015</v>
      </c>
      <c r="F2" s="54">
        <v>2016</v>
      </c>
      <c r="G2" s="54">
        <v>2017</v>
      </c>
      <c r="H2" s="54">
        <v>2018</v>
      </c>
      <c r="I2" s="54">
        <v>2019</v>
      </c>
      <c r="J2" s="54"/>
      <c r="K2" s="55"/>
      <c r="L2" s="55"/>
      <c r="M2" s="55"/>
      <c r="N2" s="55"/>
      <c r="O2" s="55"/>
      <c r="P2" s="55"/>
      <c r="Q2" s="55"/>
    </row>
    <row r="3" spans="1:17">
      <c r="A3" s="5" t="s">
        <v>30</v>
      </c>
      <c r="B3" s="56"/>
      <c r="C3" s="56"/>
      <c r="D3" s="56"/>
      <c r="E3" s="56"/>
      <c r="F3" s="56"/>
      <c r="G3" s="56"/>
      <c r="H3" s="57"/>
      <c r="J3" s="58"/>
      <c r="K3" s="83"/>
    </row>
    <row r="4" spans="1:17">
      <c r="A4" t="s">
        <v>31</v>
      </c>
      <c r="B4" s="56"/>
      <c r="C4" s="56"/>
      <c r="D4" s="56"/>
      <c r="E4" s="56"/>
      <c r="F4" s="56"/>
      <c r="G4" s="56"/>
      <c r="H4" s="57"/>
      <c r="J4" s="58"/>
    </row>
    <row r="5" spans="1:17">
      <c r="A5" t="s">
        <v>32</v>
      </c>
      <c r="B5" s="56">
        <f>'Summary Info - Enter Data Here'!B39</f>
        <v>68503</v>
      </c>
      <c r="C5" s="56">
        <f>'Summary Info - Enter Data Here'!C39</f>
        <v>68003</v>
      </c>
      <c r="D5" s="56">
        <f>'Summary Info - Enter Data Here'!D39</f>
        <v>58003</v>
      </c>
      <c r="E5" s="56">
        <f>'Summary Info - Enter Data Here'!E39</f>
        <v>58003</v>
      </c>
      <c r="F5" s="56">
        <f>'Summary Info - Enter Data Here'!F39</f>
        <v>104398</v>
      </c>
      <c r="G5" s="56">
        <f>'Summary Info - Enter Data Here'!G39</f>
        <v>374983</v>
      </c>
      <c r="H5" s="56">
        <f>'Summary Info - Enter Data Here'!H39</f>
        <v>474559</v>
      </c>
      <c r="I5" s="56">
        <f>'Summary Info - Enter Data Here'!I39</f>
        <v>406725.32</v>
      </c>
      <c r="J5" s="56">
        <f>'Summary Info - Enter Data Here'!J39</f>
        <v>0</v>
      </c>
    </row>
    <row r="6" spans="1:17">
      <c r="A6" t="s">
        <v>34</v>
      </c>
      <c r="B6" s="56">
        <f>'Summary Info - Enter Data Here'!B41</f>
        <v>0</v>
      </c>
      <c r="C6" s="56">
        <f>'Summary Info - Enter Data Here'!C41</f>
        <v>0</v>
      </c>
      <c r="D6" s="56">
        <f>'Summary Info - Enter Data Here'!D41</f>
        <v>0</v>
      </c>
      <c r="E6" s="56">
        <f>'Summary Info - Enter Data Here'!E41</f>
        <v>0</v>
      </c>
      <c r="F6" s="56">
        <f>'Summary Info - Enter Data Here'!F41</f>
        <v>0</v>
      </c>
      <c r="G6" s="56">
        <f>'Summary Info - Enter Data Here'!G41</f>
        <v>0</v>
      </c>
      <c r="H6" s="56">
        <f>'Summary Info - Enter Data Here'!H41</f>
        <v>0</v>
      </c>
      <c r="I6" s="56">
        <f>'Summary Info - Enter Data Here'!I41</f>
        <v>103634.61</v>
      </c>
      <c r="J6" s="56">
        <f>'Summary Info - Enter Data Here'!J41</f>
        <v>0</v>
      </c>
    </row>
    <row r="7" spans="1:17" s="41" customFormat="1">
      <c r="A7" s="41" t="s">
        <v>35</v>
      </c>
      <c r="B7" s="59">
        <f>'Summary Info - Enter Data Here'!B42</f>
        <v>59322</v>
      </c>
      <c r="C7" s="59">
        <f>'Summary Info - Enter Data Here'!C42</f>
        <v>47688</v>
      </c>
      <c r="D7" s="59">
        <f>'Summary Info - Enter Data Here'!D42</f>
        <v>58691</v>
      </c>
      <c r="E7" s="59">
        <f>'Summary Info - Enter Data Here'!E42</f>
        <v>194616</v>
      </c>
      <c r="F7" s="59">
        <f>'Summary Info - Enter Data Here'!F42</f>
        <v>172384</v>
      </c>
      <c r="G7" s="59">
        <f>'Summary Info - Enter Data Here'!G42</f>
        <v>219962</v>
      </c>
      <c r="H7" s="59">
        <f>'Summary Info - Enter Data Here'!H42</f>
        <v>274355</v>
      </c>
      <c r="I7" s="59">
        <f>'Summary Info - Enter Data Here'!I42</f>
        <v>311992.24</v>
      </c>
      <c r="J7" s="59">
        <f>'Summary Info - Enter Data Here'!J42</f>
        <v>0</v>
      </c>
      <c r="K7" s="60"/>
      <c r="L7" s="60"/>
      <c r="M7" s="60"/>
      <c r="N7" s="60"/>
      <c r="O7" s="60"/>
      <c r="P7" s="60"/>
      <c r="Q7" s="60"/>
    </row>
    <row r="8" spans="1:17" s="5" customFormat="1">
      <c r="A8" s="5" t="s">
        <v>36</v>
      </c>
      <c r="B8" s="56">
        <f>'Summary Info - Enter Data Here'!B43</f>
        <v>127825</v>
      </c>
      <c r="C8" s="56">
        <f>'Summary Info - Enter Data Here'!C43</f>
        <v>115691</v>
      </c>
      <c r="D8" s="56">
        <f>'Summary Info - Enter Data Here'!D43</f>
        <v>116694</v>
      </c>
      <c r="E8" s="56">
        <f>'Summary Info - Enter Data Here'!E43</f>
        <v>257619</v>
      </c>
      <c r="F8" s="56">
        <f>'Summary Info - Enter Data Here'!F43</f>
        <v>455218</v>
      </c>
      <c r="G8" s="56">
        <f>'Summary Info - Enter Data Here'!G43</f>
        <v>594945</v>
      </c>
      <c r="H8" s="56">
        <f>'Summary Info - Enter Data Here'!H43</f>
        <v>775896</v>
      </c>
      <c r="I8" s="56">
        <f>'Summary Info - Enter Data Here'!I43</f>
        <v>872516.13</v>
      </c>
      <c r="J8" s="56">
        <f>'Summary Info - Enter Data Here'!J43</f>
        <v>0</v>
      </c>
      <c r="K8" s="58"/>
      <c r="L8" s="58"/>
      <c r="M8" s="58"/>
      <c r="N8" s="58"/>
      <c r="O8" s="58"/>
      <c r="P8" s="58"/>
      <c r="Q8" s="58"/>
    </row>
    <row r="9" spans="1:17" ht="9" customHeight="1">
      <c r="B9" s="56"/>
      <c r="C9" s="56"/>
      <c r="D9" s="56"/>
      <c r="E9" s="56"/>
      <c r="F9" s="56"/>
      <c r="G9" s="56"/>
      <c r="H9" s="57"/>
    </row>
    <row r="10" spans="1:17" s="3" customFormat="1">
      <c r="A10" s="4" t="s">
        <v>37</v>
      </c>
      <c r="B10" s="56">
        <f>'Summary Info - Enter Data Here'!B45</f>
        <v>14266</v>
      </c>
      <c r="C10" s="56">
        <f>'Summary Info - Enter Data Here'!C45</f>
        <v>78939</v>
      </c>
      <c r="D10" s="56">
        <f>'Summary Info - Enter Data Here'!D45</f>
        <v>22405</v>
      </c>
      <c r="E10" s="56">
        <f>'Summary Info - Enter Data Here'!E45</f>
        <v>11964</v>
      </c>
      <c r="F10" s="56">
        <f>'Summary Info - Enter Data Here'!F45</f>
        <v>15839</v>
      </c>
      <c r="G10" s="56">
        <f>'Summary Info - Enter Data Here'!G45</f>
        <v>28438</v>
      </c>
      <c r="H10" s="56">
        <f>'Summary Info - Enter Data Here'!H45</f>
        <v>31576</v>
      </c>
      <c r="I10" s="56">
        <f>'Summary Info - Enter Data Here'!I45</f>
        <v>100923.3</v>
      </c>
      <c r="J10" s="56">
        <f>'Summary Info - Enter Data Here'!J45</f>
        <v>0</v>
      </c>
      <c r="K10" s="57"/>
      <c r="L10" s="57"/>
      <c r="M10" s="57"/>
      <c r="N10" s="57"/>
      <c r="O10" s="57"/>
      <c r="P10" s="57"/>
      <c r="Q10" s="57"/>
    </row>
    <row r="11" spans="1:17" s="3" customFormat="1" ht="9" customHeight="1">
      <c r="B11" s="56"/>
      <c r="C11" s="56"/>
      <c r="D11" s="56"/>
      <c r="E11" s="56"/>
      <c r="F11" s="56"/>
      <c r="G11" s="56"/>
      <c r="H11" s="57"/>
      <c r="I11" s="57"/>
      <c r="J11" s="57"/>
      <c r="K11" s="57"/>
      <c r="L11" s="57"/>
      <c r="M11" s="57"/>
      <c r="N11" s="57"/>
      <c r="O11" s="57"/>
      <c r="P11" s="57"/>
      <c r="Q11" s="57"/>
    </row>
    <row r="12" spans="1:17">
      <c r="A12" t="s">
        <v>38</v>
      </c>
      <c r="B12" s="56">
        <f>'Summary Info - Enter Data Here'!B47</f>
        <v>19</v>
      </c>
      <c r="C12" s="56">
        <f>'Summary Info - Enter Data Here'!C47</f>
        <v>6</v>
      </c>
      <c r="D12" s="56">
        <f>'Summary Info - Enter Data Here'!D47</f>
        <v>3</v>
      </c>
      <c r="E12" s="56">
        <f>'Summary Info - Enter Data Here'!E47</f>
        <v>3</v>
      </c>
      <c r="F12" s="56">
        <f>'Summary Info - Enter Data Here'!F47</f>
        <v>4</v>
      </c>
      <c r="G12" s="56">
        <f>'Summary Info - Enter Data Here'!G47</f>
        <v>5</v>
      </c>
      <c r="H12" s="56">
        <f>'Summary Info - Enter Data Here'!H47</f>
        <v>7</v>
      </c>
      <c r="I12" s="56">
        <f>'Summary Info - Enter Data Here'!I47</f>
        <v>9.82</v>
      </c>
      <c r="J12" s="56">
        <f>'Summary Info - Enter Data Here'!J47</f>
        <v>0</v>
      </c>
    </row>
    <row r="13" spans="1:17" s="41" customFormat="1">
      <c r="A13" s="41" t="s">
        <v>39</v>
      </c>
      <c r="B13" s="59">
        <f>'Summary Info - Enter Data Here'!B48</f>
        <v>4552</v>
      </c>
      <c r="C13" s="59">
        <f>'Summary Info - Enter Data Here'!C48</f>
        <v>1966</v>
      </c>
      <c r="D13" s="59">
        <f>'Summary Info - Enter Data Here'!D48</f>
        <v>1110</v>
      </c>
      <c r="E13" s="59">
        <f>'Summary Info - Enter Data Here'!E48</f>
        <v>338</v>
      </c>
      <c r="F13" s="59">
        <f>'Summary Info - Enter Data Here'!F48</f>
        <v>367</v>
      </c>
      <c r="G13" s="59">
        <f>'Summary Info - Enter Data Here'!G48</f>
        <v>1589</v>
      </c>
      <c r="H13" s="59">
        <f>'Summary Info - Enter Data Here'!H48</f>
        <v>4110</v>
      </c>
      <c r="I13" s="59">
        <f>'Summary Info - Enter Data Here'!I48</f>
        <v>1565.25</v>
      </c>
      <c r="J13" s="59">
        <f>'Summary Info - Enter Data Here'!J48</f>
        <v>0</v>
      </c>
      <c r="K13" s="60"/>
      <c r="L13" s="60"/>
      <c r="M13" s="60"/>
      <c r="N13" s="60"/>
      <c r="O13" s="60"/>
      <c r="P13" s="60"/>
      <c r="Q13" s="60"/>
    </row>
    <row r="14" spans="1:17" s="5" customFormat="1">
      <c r="A14" s="5" t="s">
        <v>40</v>
      </c>
      <c r="B14" s="56">
        <f>'Summary Info - Enter Data Here'!B49</f>
        <v>4571</v>
      </c>
      <c r="C14" s="56">
        <f>'Summary Info - Enter Data Here'!C49</f>
        <v>1972</v>
      </c>
      <c r="D14" s="56">
        <f>'Summary Info - Enter Data Here'!D49</f>
        <v>1113</v>
      </c>
      <c r="E14" s="56">
        <f>'Summary Info - Enter Data Here'!E49</f>
        <v>341</v>
      </c>
      <c r="F14" s="56">
        <f>'Summary Info - Enter Data Here'!F49</f>
        <v>371</v>
      </c>
      <c r="G14" s="56">
        <f>'Summary Info - Enter Data Here'!G49</f>
        <v>1594</v>
      </c>
      <c r="H14" s="56">
        <f>'Summary Info - Enter Data Here'!H49</f>
        <v>4117</v>
      </c>
      <c r="I14" s="56">
        <f>'Summary Info - Enter Data Here'!I49</f>
        <v>1575.07</v>
      </c>
      <c r="J14" s="56">
        <f>'Summary Info - Enter Data Here'!J49</f>
        <v>0</v>
      </c>
      <c r="K14" s="58"/>
      <c r="L14" s="58"/>
      <c r="M14" s="58"/>
      <c r="N14" s="58"/>
      <c r="O14" s="58"/>
      <c r="P14" s="58"/>
      <c r="Q14" s="58"/>
    </row>
    <row r="15" spans="1:17" s="43" customFormat="1" ht="9" customHeight="1" thickBot="1">
      <c r="B15" s="62"/>
      <c r="C15" s="62"/>
      <c r="D15" s="62"/>
      <c r="E15" s="62"/>
      <c r="F15" s="62"/>
      <c r="G15" s="62"/>
      <c r="H15" s="63"/>
      <c r="I15" s="64"/>
      <c r="J15" s="64"/>
      <c r="K15" s="64"/>
      <c r="L15" s="64"/>
      <c r="M15" s="64"/>
      <c r="N15" s="64"/>
      <c r="O15" s="64"/>
      <c r="P15" s="64"/>
      <c r="Q15" s="64"/>
    </row>
    <row r="16" spans="1:17" s="4" customFormat="1" ht="15" thickTop="1">
      <c r="A16" s="4" t="s">
        <v>41</v>
      </c>
      <c r="B16" s="61">
        <f>'Summary Info - Enter Data Here'!B51</f>
        <v>146662</v>
      </c>
      <c r="C16" s="61">
        <f>'Summary Info - Enter Data Here'!C51</f>
        <v>196602</v>
      </c>
      <c r="D16" s="61">
        <f>'Summary Info - Enter Data Here'!D51</f>
        <v>140212</v>
      </c>
      <c r="E16" s="61">
        <f>'Summary Info - Enter Data Here'!E51</f>
        <v>269924</v>
      </c>
      <c r="F16" s="61">
        <f>'Summary Info - Enter Data Here'!F51</f>
        <v>471428</v>
      </c>
      <c r="G16" s="61">
        <f>'Summary Info - Enter Data Here'!G51</f>
        <v>624977</v>
      </c>
      <c r="H16" s="61">
        <f>'Summary Info - Enter Data Here'!H51</f>
        <v>811589</v>
      </c>
      <c r="I16" s="61">
        <f>'Summary Info - Enter Data Here'!I51</f>
        <v>975014.5</v>
      </c>
      <c r="J16" s="61">
        <f>'Summary Info - Enter Data Here'!J51</f>
        <v>0</v>
      </c>
      <c r="K16" s="82"/>
      <c r="L16" s="65"/>
      <c r="M16" s="65"/>
      <c r="N16" s="65"/>
      <c r="O16" s="65"/>
      <c r="P16" s="65"/>
      <c r="Q16" s="65"/>
    </row>
    <row r="18" spans="1:17" ht="15.6">
      <c r="A18" s="79" t="s">
        <v>60</v>
      </c>
    </row>
    <row r="19" spans="1:17" s="53" customFormat="1">
      <c r="B19" s="54">
        <v>2012</v>
      </c>
      <c r="C19" s="54">
        <v>2013</v>
      </c>
      <c r="D19" s="54">
        <v>2014</v>
      </c>
      <c r="E19" s="54">
        <v>2015</v>
      </c>
      <c r="F19" s="54">
        <v>2016</v>
      </c>
      <c r="G19" s="54">
        <v>2017</v>
      </c>
      <c r="H19" s="54">
        <v>2018</v>
      </c>
      <c r="I19" s="54">
        <v>2019</v>
      </c>
      <c r="J19" s="54"/>
      <c r="K19" s="55"/>
      <c r="L19" s="55"/>
      <c r="M19" s="55"/>
      <c r="N19" s="55"/>
      <c r="O19" s="55"/>
      <c r="P19" s="55"/>
      <c r="Q19" s="55"/>
    </row>
    <row r="20" spans="1:17">
      <c r="A20" s="49" t="s">
        <v>61</v>
      </c>
      <c r="B20" s="56">
        <f>'Summary Info - Enter Data Here'!B39</f>
        <v>68503</v>
      </c>
      <c r="C20" s="56">
        <f>'Summary Info - Enter Data Here'!C39</f>
        <v>68003</v>
      </c>
      <c r="D20" s="56">
        <f>'Summary Info - Enter Data Here'!D39</f>
        <v>58003</v>
      </c>
      <c r="E20" s="56">
        <f>'Summary Info - Enter Data Here'!E39</f>
        <v>58003</v>
      </c>
      <c r="F20" s="56">
        <f>'Summary Info - Enter Data Here'!F39</f>
        <v>104398</v>
      </c>
      <c r="G20" s="56">
        <f>'Summary Info - Enter Data Here'!G39</f>
        <v>374983</v>
      </c>
      <c r="H20" s="56">
        <f>'Summary Info - Enter Data Here'!H39</f>
        <v>474559</v>
      </c>
      <c r="I20" s="56">
        <f>'Summary Info - Enter Data Here'!I39</f>
        <v>406725.32</v>
      </c>
      <c r="J20" s="56">
        <f>'Summary Info - Enter Data Here'!J39</f>
        <v>0</v>
      </c>
    </row>
    <row r="21" spans="1:17">
      <c r="A21" s="49" t="s">
        <v>62</v>
      </c>
      <c r="B21" s="56">
        <f>'Summary Info - Enter Data Here'!B41</f>
        <v>0</v>
      </c>
      <c r="C21" s="56">
        <f>'Summary Info - Enter Data Here'!C41</f>
        <v>0</v>
      </c>
      <c r="D21" s="56">
        <f>'Summary Info - Enter Data Here'!D41</f>
        <v>0</v>
      </c>
      <c r="E21" s="56">
        <f>'Summary Info - Enter Data Here'!E41</f>
        <v>0</v>
      </c>
      <c r="F21" s="56">
        <f>'Summary Info - Enter Data Here'!F41</f>
        <v>0</v>
      </c>
      <c r="G21" s="56">
        <f>'Summary Info - Enter Data Here'!G41</f>
        <v>0</v>
      </c>
      <c r="H21" s="56">
        <f>'Summary Info - Enter Data Here'!H41</f>
        <v>0</v>
      </c>
      <c r="I21" s="56">
        <f>'Summary Info - Enter Data Here'!I41</f>
        <v>103634.61</v>
      </c>
      <c r="J21" s="56">
        <f>'Summary Info - Enter Data Here'!J41</f>
        <v>0</v>
      </c>
    </row>
    <row r="22" spans="1:17" s="37" customFormat="1">
      <c r="A22" s="50" t="s">
        <v>63</v>
      </c>
      <c r="B22" s="56">
        <f>'Summary Info - Enter Data Here'!B42</f>
        <v>59322</v>
      </c>
      <c r="C22" s="56">
        <f>'Summary Info - Enter Data Here'!C42</f>
        <v>47688</v>
      </c>
      <c r="D22" s="56">
        <f>'Summary Info - Enter Data Here'!D42</f>
        <v>58691</v>
      </c>
      <c r="E22" s="56">
        <f>'Summary Info - Enter Data Here'!E42</f>
        <v>194616</v>
      </c>
      <c r="F22" s="56">
        <f>'Summary Info - Enter Data Here'!F42</f>
        <v>172384</v>
      </c>
      <c r="G22" s="56">
        <f>'Summary Info - Enter Data Here'!G42</f>
        <v>219962</v>
      </c>
      <c r="H22" s="56">
        <f>'Summary Info - Enter Data Here'!H42</f>
        <v>274355</v>
      </c>
      <c r="I22" s="56">
        <f>'Summary Info - Enter Data Here'!I42</f>
        <v>311992.24</v>
      </c>
      <c r="J22" s="56">
        <f>'Summary Info - Enter Data Here'!J42</f>
        <v>0</v>
      </c>
      <c r="K22" s="68"/>
      <c r="L22" s="68"/>
      <c r="M22" s="68"/>
      <c r="N22" s="68"/>
      <c r="O22" s="68"/>
      <c r="P22" s="68"/>
      <c r="Q22" s="68"/>
    </row>
    <row r="23" spans="1:17" s="36" customFormat="1">
      <c r="A23" s="51" t="s">
        <v>64</v>
      </c>
      <c r="B23" s="66">
        <f>'Summary Info - Enter Data Here'!B45</f>
        <v>14266</v>
      </c>
      <c r="C23" s="66">
        <f>'Summary Info - Enter Data Here'!C45</f>
        <v>78939</v>
      </c>
      <c r="D23" s="66">
        <f>'Summary Info - Enter Data Here'!D45</f>
        <v>22405</v>
      </c>
      <c r="E23" s="66">
        <f>'Summary Info - Enter Data Here'!E45</f>
        <v>11964</v>
      </c>
      <c r="F23" s="66">
        <f>'Summary Info - Enter Data Here'!F45</f>
        <v>15839</v>
      </c>
      <c r="G23" s="66">
        <f>'Summary Info - Enter Data Here'!G45</f>
        <v>28438</v>
      </c>
      <c r="H23" s="66">
        <f>'Summary Info - Enter Data Here'!H45</f>
        <v>31576</v>
      </c>
      <c r="I23" s="66">
        <f>'Summary Info - Enter Data Here'!I45</f>
        <v>100923.3</v>
      </c>
      <c r="J23" s="66">
        <f>'Summary Info - Enter Data Here'!J45</f>
        <v>0</v>
      </c>
      <c r="K23" s="67"/>
      <c r="L23" s="67"/>
      <c r="M23" s="67"/>
      <c r="N23" s="67"/>
      <c r="O23" s="67"/>
      <c r="P23" s="67"/>
      <c r="Q23" s="67"/>
    </row>
    <row r="24" spans="1:17" s="37" customFormat="1">
      <c r="A24" s="50" t="s">
        <v>65</v>
      </c>
      <c r="B24" s="66">
        <f>'Summary Info - Enter Data Here'!B49</f>
        <v>4571</v>
      </c>
      <c r="C24" s="66">
        <f>'Summary Info - Enter Data Here'!C49</f>
        <v>1972</v>
      </c>
      <c r="D24" s="66">
        <f>'Summary Info - Enter Data Here'!D49</f>
        <v>1113</v>
      </c>
      <c r="E24" s="66">
        <f>'Summary Info - Enter Data Here'!E49</f>
        <v>341</v>
      </c>
      <c r="F24" s="66">
        <f>'Summary Info - Enter Data Here'!F49</f>
        <v>371</v>
      </c>
      <c r="G24" s="66">
        <f>'Summary Info - Enter Data Here'!G49</f>
        <v>1594</v>
      </c>
      <c r="H24" s="66">
        <f>'Summary Info - Enter Data Here'!H49</f>
        <v>4117</v>
      </c>
      <c r="I24" s="66">
        <f>'Summary Info - Enter Data Here'!I49</f>
        <v>1575.07</v>
      </c>
      <c r="J24" s="66">
        <f>'Summary Info - Enter Data Here'!J49</f>
        <v>0</v>
      </c>
      <c r="K24" s="68"/>
      <c r="L24" s="68"/>
      <c r="M24" s="68"/>
      <c r="N24" s="68"/>
      <c r="O24" s="68"/>
      <c r="P24" s="68"/>
      <c r="Q24" s="68"/>
    </row>
    <row r="26" spans="1:17" ht="15.6">
      <c r="A26" s="48" t="s">
        <v>66</v>
      </c>
    </row>
    <row r="27" spans="1:17" s="53" customFormat="1">
      <c r="B27" s="54">
        <v>2012</v>
      </c>
      <c r="C27" s="54">
        <v>2013</v>
      </c>
      <c r="D27" s="54">
        <v>2014</v>
      </c>
      <c r="E27" s="54">
        <v>2015</v>
      </c>
      <c r="F27" s="54">
        <v>2016</v>
      </c>
      <c r="G27" s="54">
        <v>2017</v>
      </c>
      <c r="H27" s="54">
        <v>2018</v>
      </c>
      <c r="I27" s="54">
        <v>2019</v>
      </c>
      <c r="J27" s="54"/>
      <c r="K27" s="55"/>
      <c r="L27" s="55"/>
      <c r="M27" s="55"/>
      <c r="N27" s="55"/>
      <c r="O27" s="55"/>
      <c r="P27" s="55"/>
      <c r="Q27" s="55"/>
    </row>
    <row r="28" spans="1:17" s="21" customFormat="1">
      <c r="A28" s="21" t="s">
        <v>67</v>
      </c>
      <c r="B28" s="56">
        <f>'Summary Info - Enter Data Here'!B61</f>
        <v>144825</v>
      </c>
      <c r="C28" s="56">
        <f>'Summary Info - Enter Data Here'!C61</f>
        <v>155025</v>
      </c>
      <c r="D28" s="56">
        <f>'Summary Info - Enter Data Here'!D61</f>
        <v>60744</v>
      </c>
      <c r="E28" s="56">
        <f>'Summary Info - Enter Data Here'!E61</f>
        <v>75691</v>
      </c>
      <c r="F28" s="56">
        <f>'Summary Info - Enter Data Here'!F61</f>
        <v>246900</v>
      </c>
      <c r="G28" s="56">
        <f>'Summary Info - Enter Data Here'!G61</f>
        <v>261914</v>
      </c>
      <c r="H28" s="56">
        <f>'Summary Info - Enter Data Here'!H61</f>
        <v>344361</v>
      </c>
      <c r="I28" s="56">
        <f>'Summary Info - Enter Data Here'!I61</f>
        <v>506476.26000000007</v>
      </c>
      <c r="J28" s="56">
        <f>'Summary Info - Enter Data Here'!J61</f>
        <v>0</v>
      </c>
      <c r="K28" s="56">
        <f t="shared" ref="K28:Q28" si="0">SUM(K24:K27)</f>
        <v>0</v>
      </c>
      <c r="L28" s="56">
        <f t="shared" si="0"/>
        <v>0</v>
      </c>
      <c r="M28" s="56">
        <f t="shared" si="0"/>
        <v>0</v>
      </c>
      <c r="N28" s="56">
        <f t="shared" si="0"/>
        <v>0</v>
      </c>
      <c r="O28" s="56">
        <f t="shared" si="0"/>
        <v>0</v>
      </c>
      <c r="P28" s="56">
        <f t="shared" si="0"/>
        <v>0</v>
      </c>
      <c r="Q28" s="56">
        <f t="shared" si="0"/>
        <v>0</v>
      </c>
    </row>
    <row r="29" spans="1:17">
      <c r="A29" s="21" t="s">
        <v>68</v>
      </c>
      <c r="B29" s="52">
        <f>'Summary Info - Enter Data Here'!B68</f>
        <v>27039</v>
      </c>
      <c r="C29" s="52">
        <f>'Summary Info - Enter Data Here'!C68</f>
        <v>59561</v>
      </c>
      <c r="D29" s="52">
        <f>'Summary Info - Enter Data Here'!D68</f>
        <v>54706</v>
      </c>
      <c r="E29" s="52">
        <f>'Summary Info - Enter Data Here'!E68</f>
        <v>160082</v>
      </c>
      <c r="F29" s="52">
        <f>'Summary Info - Enter Data Here'!F68</f>
        <v>221140</v>
      </c>
      <c r="G29" s="52">
        <f>'Summary Info - Enter Data Here'!G68</f>
        <v>352461</v>
      </c>
      <c r="H29" s="52">
        <f>'Summary Info - Enter Data Here'!H68</f>
        <v>374794</v>
      </c>
      <c r="I29" s="52">
        <f>'Summary Info - Enter Data Here'!I68</f>
        <v>453649.48</v>
      </c>
      <c r="J29" s="52">
        <f>'Summary Info - Enter Data Here'!J68</f>
        <v>0</v>
      </c>
    </row>
    <row r="30" spans="1:17">
      <c r="A30" s="21" t="s">
        <v>69</v>
      </c>
      <c r="B30" s="52">
        <f>'Summary Info - Enter Data Here'!B70</f>
        <v>171864</v>
      </c>
      <c r="C30" s="52">
        <f>'Summary Info - Enter Data Here'!C70</f>
        <v>214586</v>
      </c>
      <c r="D30" s="52">
        <f>'Summary Info - Enter Data Here'!D70</f>
        <v>115450</v>
      </c>
      <c r="E30" s="52">
        <f>'Summary Info - Enter Data Here'!E70</f>
        <v>235773</v>
      </c>
      <c r="F30" s="52">
        <f>'Summary Info - Enter Data Here'!F70</f>
        <v>468040</v>
      </c>
      <c r="G30" s="52">
        <f>'Summary Info - Enter Data Here'!G70</f>
        <v>614375</v>
      </c>
      <c r="H30" s="52">
        <f>'Summary Info - Enter Data Here'!H70</f>
        <v>719155</v>
      </c>
      <c r="I30" s="52">
        <f>'Summary Info - Enter Data Here'!I70</f>
        <v>960125.74</v>
      </c>
      <c r="J30" s="52">
        <f>'Summary Info - Enter Data Here'!J70</f>
        <v>0</v>
      </c>
    </row>
    <row r="31" spans="1:17">
      <c r="B31" s="69">
        <f t="shared" ref="B31:G31" si="1">B28/B30</f>
        <v>0.84267211283340315</v>
      </c>
      <c r="C31" s="69">
        <f t="shared" si="1"/>
        <v>0.72243762407612799</v>
      </c>
      <c r="D31" s="69">
        <f t="shared" si="1"/>
        <v>0.52614984841922907</v>
      </c>
      <c r="E31" s="69">
        <f t="shared" si="1"/>
        <v>0.32103336684013861</v>
      </c>
      <c r="F31" s="69">
        <f t="shared" si="1"/>
        <v>0.52751901546876334</v>
      </c>
      <c r="G31" s="69">
        <f t="shared" si="1"/>
        <v>0.42630966429298067</v>
      </c>
      <c r="H31" s="69">
        <f t="shared" ref="H31" si="2">H28/H30</f>
        <v>0.47884113994896788</v>
      </c>
      <c r="I31" s="69"/>
      <c r="J31" s="69"/>
      <c r="K31" s="69"/>
      <c r="L31" s="69"/>
      <c r="M31" s="69"/>
    </row>
    <row r="32" spans="1:17">
      <c r="B32" s="69">
        <f>B29/B30</f>
        <v>0.15732788716659685</v>
      </c>
      <c r="C32" s="69">
        <f t="shared" ref="C32:G32" si="3">C29/C30</f>
        <v>0.27756237592387201</v>
      </c>
      <c r="D32" s="69">
        <f t="shared" si="3"/>
        <v>0.47385015158077087</v>
      </c>
      <c r="E32" s="69">
        <f t="shared" si="3"/>
        <v>0.67896663315986139</v>
      </c>
      <c r="F32" s="69">
        <f t="shared" si="3"/>
        <v>0.47248098453123666</v>
      </c>
      <c r="G32" s="69">
        <f t="shared" si="3"/>
        <v>0.57369033570701933</v>
      </c>
      <c r="H32" s="69">
        <f t="shared" ref="H32" si="4">H29/H30</f>
        <v>0.52115886005103207</v>
      </c>
      <c r="I32" s="69"/>
      <c r="J32" s="69"/>
      <c r="K32" s="69"/>
      <c r="L32" s="69"/>
      <c r="M32" s="69"/>
    </row>
    <row r="34" spans="1:10" ht="15.6">
      <c r="A34" s="48" t="s">
        <v>70</v>
      </c>
    </row>
    <row r="35" spans="1:10">
      <c r="B35" s="54">
        <v>2012</v>
      </c>
      <c r="C35" s="54">
        <v>2013</v>
      </c>
      <c r="D35" s="54">
        <v>2014</v>
      </c>
      <c r="E35" s="54">
        <v>2015</v>
      </c>
      <c r="F35" s="54">
        <v>2016</v>
      </c>
      <c r="G35" s="54">
        <v>2017</v>
      </c>
      <c r="H35" s="54">
        <v>2018</v>
      </c>
      <c r="I35" s="54">
        <v>2019</v>
      </c>
    </row>
    <row r="36" spans="1:10">
      <c r="A36" t="s">
        <v>71</v>
      </c>
      <c r="B36" s="52">
        <f>'Summary Info - Enter Data Here'!B55</f>
        <v>104107</v>
      </c>
      <c r="C36" s="52">
        <f>'Summary Info - Enter Data Here'!C55</f>
        <v>105889</v>
      </c>
      <c r="D36" s="52">
        <f>'Summary Info - Enter Data Here'!D55</f>
        <v>31864</v>
      </c>
      <c r="E36" s="52">
        <f>'Summary Info - Enter Data Here'!E55</f>
        <v>60004</v>
      </c>
      <c r="F36" s="52">
        <f>'Summary Info - Enter Data Here'!F55</f>
        <v>135631</v>
      </c>
      <c r="G36" s="52">
        <f>'Summary Info - Enter Data Here'!G55</f>
        <v>164994</v>
      </c>
      <c r="H36" s="52">
        <f>'Summary Info - Enter Data Here'!H55</f>
        <v>240534</v>
      </c>
      <c r="I36" s="52">
        <f>'Summary Info - Enter Data Here'!I55</f>
        <v>331887.77</v>
      </c>
      <c r="J36" s="52">
        <f>'Summary Info - Enter Data Here'!J55</f>
        <v>0</v>
      </c>
    </row>
    <row r="37" spans="1:10">
      <c r="A37" t="s">
        <v>72</v>
      </c>
      <c r="B37" s="52">
        <f>'Summary Info - Enter Data Here'!B56</f>
        <v>37946</v>
      </c>
      <c r="C37" s="52">
        <f>'Summary Info - Enter Data Here'!C56</f>
        <v>47189</v>
      </c>
      <c r="D37" s="52">
        <f>'Summary Info - Enter Data Here'!D56</f>
        <v>28733</v>
      </c>
      <c r="E37" s="52">
        <f>'Summary Info - Enter Data Here'!E56</f>
        <v>15036</v>
      </c>
      <c r="F37" s="52">
        <f>'Summary Info - Enter Data Here'!F56</f>
        <v>30944</v>
      </c>
      <c r="G37" s="52">
        <f>'Summary Info - Enter Data Here'!G56</f>
        <v>60922</v>
      </c>
      <c r="H37" s="52">
        <f>'Summary Info - Enter Data Here'!H56</f>
        <v>71612</v>
      </c>
      <c r="I37" s="52">
        <f>'Summary Info - Enter Data Here'!I56</f>
        <v>124984.16000000002</v>
      </c>
      <c r="J37" s="52">
        <f>'Summary Info - Enter Data Here'!J56</f>
        <v>0</v>
      </c>
    </row>
    <row r="38" spans="1:10">
      <c r="A38" t="s">
        <v>73</v>
      </c>
      <c r="B38" s="52">
        <f>'Summary Info - Enter Data Here'!B57</f>
        <v>2772</v>
      </c>
      <c r="C38" s="52">
        <f>'Summary Info - Enter Data Here'!C57</f>
        <v>1947</v>
      </c>
      <c r="D38" s="52">
        <f>'Summary Info - Enter Data Here'!D57</f>
        <v>147</v>
      </c>
      <c r="E38" s="52">
        <f>'Summary Info - Enter Data Here'!E57</f>
        <v>651</v>
      </c>
      <c r="F38" s="52">
        <f>'Summary Info - Enter Data Here'!F57</f>
        <v>9105</v>
      </c>
      <c r="G38" s="52">
        <f>'Summary Info - Enter Data Here'!G57</f>
        <v>12869</v>
      </c>
      <c r="H38" s="52">
        <f>'Summary Info - Enter Data Here'!H57</f>
        <v>14021</v>
      </c>
      <c r="I38" s="52">
        <f>'Summary Info - Enter Data Here'!I57</f>
        <v>25281.33</v>
      </c>
      <c r="J38" s="52">
        <f>'Summary Info - Enter Data Here'!J57</f>
        <v>0</v>
      </c>
    </row>
    <row r="39" spans="1:10">
      <c r="A39" s="37" t="s">
        <v>74</v>
      </c>
      <c r="B39" s="52">
        <f>'Summary Info - Enter Data Here'!B60</f>
        <v>0</v>
      </c>
      <c r="C39" s="52">
        <f>'Summary Info - Enter Data Here'!C60</f>
        <v>0</v>
      </c>
      <c r="D39" s="52">
        <f>'Summary Info - Enter Data Here'!D60</f>
        <v>0</v>
      </c>
      <c r="E39" s="52">
        <f>'Summary Info - Enter Data Here'!E60</f>
        <v>0</v>
      </c>
      <c r="F39" s="52">
        <f>'Summary Info - Enter Data Here'!F60+'Summary Info - Enter Data Here'!F59+'Summary Info - Enter Data Here'!F58</f>
        <v>71220</v>
      </c>
      <c r="G39" s="52">
        <f>'Summary Info - Enter Data Here'!G60+'Summary Info - Enter Data Here'!G59+'Summary Info - Enter Data Here'!G58</f>
        <v>23129</v>
      </c>
      <c r="H39" s="52">
        <f>'Summary Info - Enter Data Here'!H60+'Summary Info - Enter Data Here'!H59+'Summary Info - Enter Data Here'!H58</f>
        <v>18194</v>
      </c>
      <c r="I39" s="52">
        <f>'Summary Info - Enter Data Here'!I60+'Summary Info - Enter Data Here'!I59+'Summary Info - Enter Data Here'!I58</f>
        <v>24323</v>
      </c>
      <c r="J39" s="52">
        <f>'Summary Info - Enter Data Here'!J60</f>
        <v>0</v>
      </c>
    </row>
    <row r="41" spans="1:10" ht="15.6">
      <c r="A41" s="80" t="s">
        <v>75</v>
      </c>
    </row>
    <row r="42" spans="1:10">
      <c r="B42" s="54">
        <v>2012</v>
      </c>
      <c r="C42" s="54">
        <v>2013</v>
      </c>
      <c r="D42" s="54">
        <v>2014</v>
      </c>
      <c r="E42" s="54">
        <v>2015</v>
      </c>
      <c r="F42" s="54">
        <v>2016</v>
      </c>
      <c r="G42" s="54">
        <v>2017</v>
      </c>
      <c r="H42" s="54">
        <v>2018</v>
      </c>
      <c r="I42" s="54">
        <v>2019</v>
      </c>
    </row>
    <row r="43" spans="1:10">
      <c r="A43" t="s">
        <v>76</v>
      </c>
      <c r="B43" s="52">
        <f>'Summary Info - Enter Data Here'!B64</f>
        <v>12246</v>
      </c>
      <c r="C43" s="52">
        <f>'Summary Info - Enter Data Here'!C64</f>
        <v>53931</v>
      </c>
      <c r="D43" s="52">
        <f>'Summary Info - Enter Data Here'!D64</f>
        <v>22717</v>
      </c>
      <c r="E43" s="52">
        <f>'Summary Info - Enter Data Here'!E64</f>
        <v>4614</v>
      </c>
      <c r="F43" s="52">
        <f>'Summary Info - Enter Data Here'!F64</f>
        <v>7812</v>
      </c>
      <c r="G43" s="52">
        <f>'Summary Info - Enter Data Here'!G64</f>
        <v>20162</v>
      </c>
      <c r="H43" s="52">
        <f>'Summary Info - Enter Data Here'!H64</f>
        <v>18751</v>
      </c>
      <c r="I43" s="52">
        <f>'Summary Info - Enter Data Here'!I64</f>
        <v>8903</v>
      </c>
      <c r="J43" s="52">
        <f>'Summary Info - Enter Data Here'!J64</f>
        <v>0</v>
      </c>
    </row>
    <row r="44" spans="1:10">
      <c r="A44" t="s">
        <v>61</v>
      </c>
      <c r="B44" s="52">
        <f>'Summary Info - Enter Data Here'!B65</f>
        <v>0</v>
      </c>
      <c r="C44" s="52">
        <f>'Summary Info - Enter Data Here'!C65</f>
        <v>0</v>
      </c>
      <c r="D44" s="52">
        <f>'Summary Info - Enter Data Here'!D65</f>
        <v>0</v>
      </c>
      <c r="E44" s="52">
        <f>'Summary Info - Enter Data Here'!E65</f>
        <v>0</v>
      </c>
      <c r="F44" s="52">
        <f>'Summary Info - Enter Data Here'!F65</f>
        <v>128909</v>
      </c>
      <c r="G44" s="52">
        <f>'Summary Info - Enter Data Here'!G65</f>
        <v>246224</v>
      </c>
      <c r="H44" s="52">
        <f>'Summary Info - Enter Data Here'!H65</f>
        <v>291977</v>
      </c>
      <c r="I44" s="52">
        <f>'Summary Info - Enter Data Here'!I65</f>
        <v>255201.07</v>
      </c>
      <c r="J44" s="52">
        <f>'Summary Info - Enter Data Here'!J65</f>
        <v>0</v>
      </c>
    </row>
    <row r="45" spans="1:10">
      <c r="A45" t="s">
        <v>62</v>
      </c>
      <c r="B45" s="52">
        <f>'Summary Info - Enter Data Here'!B66</f>
        <v>0</v>
      </c>
      <c r="C45" s="52">
        <f>'Summary Info - Enter Data Here'!C66</f>
        <v>0</v>
      </c>
      <c r="D45" s="52">
        <f>'Summary Info - Enter Data Here'!D66</f>
        <v>0</v>
      </c>
      <c r="E45" s="52">
        <f>'Summary Info - Enter Data Here'!E66</f>
        <v>0</v>
      </c>
      <c r="F45" s="52">
        <f>'Summary Info - Enter Data Here'!F66</f>
        <v>0</v>
      </c>
      <c r="G45" s="52">
        <f>'Summary Info - Enter Data Here'!G66</f>
        <v>0</v>
      </c>
      <c r="H45" s="52">
        <f>'Summary Info - Enter Data Here'!H66</f>
        <v>0</v>
      </c>
      <c r="I45" s="52">
        <f>'Summary Info - Enter Data Here'!I66</f>
        <v>21500</v>
      </c>
      <c r="J45" s="52">
        <f>'Summary Info - Enter Data Here'!J66</f>
        <v>0</v>
      </c>
    </row>
    <row r="46" spans="1:10">
      <c r="A46" s="37" t="s">
        <v>77</v>
      </c>
      <c r="B46" s="52">
        <f>'Summary Info - Enter Data Here'!B67</f>
        <v>14793</v>
      </c>
      <c r="C46" s="52">
        <f>'Summary Info - Enter Data Here'!C67</f>
        <v>5630</v>
      </c>
      <c r="D46" s="52">
        <f>'Summary Info - Enter Data Here'!D67</f>
        <v>31989</v>
      </c>
      <c r="E46" s="52">
        <f>'Summary Info - Enter Data Here'!E67</f>
        <v>155468</v>
      </c>
      <c r="F46" s="52">
        <f>'Summary Info - Enter Data Here'!F67</f>
        <v>84419</v>
      </c>
      <c r="G46" s="52">
        <f>'Summary Info - Enter Data Here'!G67</f>
        <v>86075</v>
      </c>
      <c r="H46" s="52">
        <f>'Summary Info - Enter Data Here'!H67</f>
        <v>64066</v>
      </c>
      <c r="I46" s="52">
        <f>'Summary Info - Enter Data Here'!I67</f>
        <v>168045.40999999997</v>
      </c>
      <c r="J46" s="52">
        <f>'Summary Info - Enter Data Here'!J67</f>
        <v>0</v>
      </c>
    </row>
    <row r="48" spans="1:10" ht="15.6">
      <c r="A48" s="48" t="s">
        <v>78</v>
      </c>
    </row>
    <row r="49" spans="1:10">
      <c r="B49" s="54">
        <v>2012</v>
      </c>
      <c r="C49" s="54">
        <v>2013</v>
      </c>
      <c r="D49" s="54">
        <v>2014</v>
      </c>
      <c r="E49" s="54">
        <v>2015</v>
      </c>
      <c r="F49" s="54">
        <v>2016</v>
      </c>
      <c r="G49" s="54">
        <v>2017</v>
      </c>
      <c r="H49" s="54">
        <v>2018</v>
      </c>
      <c r="I49" s="54">
        <v>2019</v>
      </c>
    </row>
    <row r="50" spans="1:10">
      <c r="A50" t="s">
        <v>27</v>
      </c>
      <c r="B50" s="52">
        <f>'Summary Info - Enter Data Here'!B31</f>
        <v>12068.75</v>
      </c>
      <c r="C50" s="52">
        <f>'Summary Info - Enter Data Here'!C31</f>
        <v>12918.75</v>
      </c>
      <c r="D50" s="52">
        <f>'Summary Info - Enter Data Here'!D31</f>
        <v>5062.083333333333</v>
      </c>
      <c r="E50" s="52">
        <f>'Summary Info - Enter Data Here'!E31</f>
        <v>6307.666666666667</v>
      </c>
      <c r="F50" s="52">
        <f>'Summary Info - Enter Data Here'!F31</f>
        <v>20575</v>
      </c>
      <c r="G50" s="52">
        <f>'Summary Info - Enter Data Here'!G31</f>
        <v>21826.166666666668</v>
      </c>
      <c r="H50" s="52">
        <f>'Summary Info - Enter Data Here'!H31</f>
        <v>28696.75</v>
      </c>
      <c r="I50" s="52">
        <f>'Summary Info - Enter Data Here'!I31</f>
        <v>42206.355000000003</v>
      </c>
      <c r="J50" s="52">
        <f>'Summary Info - Enter Data Here'!J31</f>
        <v>0</v>
      </c>
    </row>
    <row r="51" spans="1:10">
      <c r="A51" t="s">
        <v>79</v>
      </c>
      <c r="B51" s="70">
        <f>'Summary Info - Enter Data Here'!B33</f>
        <v>2.2304712584153288</v>
      </c>
      <c r="C51" s="70">
        <f>'Summary Info - Enter Data Here'!C33</f>
        <v>1.3534591194968553</v>
      </c>
      <c r="D51" s="70">
        <f>'Summary Info - Enter Data Here'!D33</f>
        <v>6.6567454111449509</v>
      </c>
      <c r="E51" s="70">
        <f>'Summary Info - Enter Data Here'!E33</f>
        <v>5.8168894995508111</v>
      </c>
      <c r="F51" s="70">
        <f>'Summary Info - Enter Data Here'!F33</f>
        <v>3.1180558930741191</v>
      </c>
      <c r="G51" s="70">
        <f>'Summary Info - Enter Data Here'!G33</f>
        <v>3.3907007643730385</v>
      </c>
      <c r="H51" s="70">
        <f>'Summary Info - Enter Data Here'!H33</f>
        <v>5.7597825537735101</v>
      </c>
      <c r="I51" s="70">
        <f>'Summary Info - Enter Data Here'!I33</f>
        <v>4.3842153628286544</v>
      </c>
      <c r="J51" s="70" t="e">
        <f>'Summary Info - Enter Data Here'!J33</f>
        <v>#DIV/0!</v>
      </c>
    </row>
    <row r="53" spans="1:10" ht="15.6">
      <c r="A53" s="81" t="s">
        <v>80</v>
      </c>
    </row>
    <row r="54" spans="1:10">
      <c r="B54" s="54">
        <v>2012</v>
      </c>
      <c r="C54" s="54">
        <v>2013</v>
      </c>
      <c r="D54" s="54">
        <v>2014</v>
      </c>
      <c r="E54" s="54">
        <v>2015</v>
      </c>
      <c r="F54" s="54">
        <v>2016</v>
      </c>
      <c r="G54" s="54">
        <v>2017</v>
      </c>
      <c r="H54" s="54">
        <v>2018</v>
      </c>
      <c r="I54" s="54">
        <v>2019</v>
      </c>
    </row>
    <row r="55" spans="1:10">
      <c r="A55" t="s">
        <v>25</v>
      </c>
      <c r="B55" s="52">
        <f>'Summary Info - Enter Data Here'!B28</f>
        <v>26919</v>
      </c>
      <c r="C55" s="52">
        <f>'Summary Info - Enter Data Here'!C28</f>
        <v>17485</v>
      </c>
      <c r="D55" s="52">
        <f>'Summary Info - Enter Data Here'!D28</f>
        <v>33697</v>
      </c>
      <c r="E55" s="52">
        <f>'Summary Info - Enter Data Here'!E28</f>
        <v>36691</v>
      </c>
      <c r="F55" s="52">
        <f>'Summary Info - Enter Data Here'!F28</f>
        <v>64154</v>
      </c>
      <c r="G55" s="52">
        <f>'Summary Info - Enter Data Here'!G28</f>
        <v>74006</v>
      </c>
      <c r="H55" s="52">
        <f>'Summary Info - Enter Data Here'!H28</f>
        <v>165287.03999999998</v>
      </c>
      <c r="I55" s="52">
        <f>'Summary Info - Enter Data Here'!I28</f>
        <v>185041.75</v>
      </c>
      <c r="J55" s="52">
        <f>'Summary Info - Enter Data Here'!J28</f>
        <v>0</v>
      </c>
    </row>
    <row r="57" spans="1:10" ht="15.6">
      <c r="A57" s="48" t="s">
        <v>81</v>
      </c>
    </row>
    <row r="58" spans="1:10">
      <c r="B58" s="54">
        <v>2012</v>
      </c>
      <c r="C58" s="54">
        <v>2013</v>
      </c>
      <c r="D58" s="54">
        <v>2014</v>
      </c>
      <c r="E58" s="54">
        <v>2015</v>
      </c>
      <c r="F58" s="54">
        <v>2016</v>
      </c>
      <c r="G58" s="54">
        <v>2017</v>
      </c>
      <c r="H58" s="54">
        <v>2018</v>
      </c>
      <c r="I58" s="54">
        <v>2019</v>
      </c>
    </row>
    <row r="59" spans="1:10">
      <c r="A59" t="s">
        <v>27</v>
      </c>
      <c r="B59" s="52">
        <f>'Summary Info - Enter Data Here'!B31</f>
        <v>12068.75</v>
      </c>
      <c r="C59" s="52">
        <f>'Summary Info - Enter Data Here'!C31</f>
        <v>12918.75</v>
      </c>
      <c r="D59" s="52">
        <f>'Summary Info - Enter Data Here'!D31</f>
        <v>5062.083333333333</v>
      </c>
      <c r="E59" s="52">
        <f>'Summary Info - Enter Data Here'!E31</f>
        <v>6307.666666666667</v>
      </c>
      <c r="F59" s="52">
        <f>'Summary Info - Enter Data Here'!F31</f>
        <v>20575</v>
      </c>
      <c r="G59" s="52">
        <f>'Summary Info - Enter Data Here'!G31</f>
        <v>21826.166666666668</v>
      </c>
      <c r="H59" s="52">
        <f>'Summary Info - Enter Data Here'!H31</f>
        <v>28696.75</v>
      </c>
      <c r="I59" s="52">
        <f>'Summary Info - Enter Data Here'!I31</f>
        <v>42206.355000000003</v>
      </c>
      <c r="J59" s="52">
        <f>'Summary Info - Enter Data Here'!J31</f>
        <v>0</v>
      </c>
    </row>
  </sheetData>
  <printOptions horizontalCentered="1" verticalCentered="1" gridLines="1"/>
  <pageMargins left="0.7" right="0.7" top="0.75" bottom="0.75" header="0.3" footer="0.3"/>
  <pageSetup scale="93" fitToHeight="0" orientation="landscape" r:id="rId1"/>
  <headerFooter>
    <oddHeader>&amp;F</oddHeader>
    <oddFooter>&amp;CNorth St Louis Soil &amp; Water Conservation District</oddFooter>
  </headerFooter>
  <rowBreaks count="1" manualBreakCount="1">
    <brk id="3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MN.IT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Tara Ostendorf</dc:creator>
  <cp:keywords/>
  <dc:description/>
  <cp:lastModifiedBy>North St. Louis SWCD</cp:lastModifiedBy>
  <cp:revision/>
  <dcterms:created xsi:type="dcterms:W3CDTF">2018-10-11T14:06:28Z</dcterms:created>
  <dcterms:modified xsi:type="dcterms:W3CDTF">2020-03-10T20:09:08Z</dcterms:modified>
  <cp:category/>
  <cp:contentStatus/>
</cp:coreProperties>
</file>